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30" windowWidth="15180" windowHeight="10785" activeTab="2"/>
  </bookViews>
  <sheets>
    <sheet name="Jan - Dec 2007 Financial Stat" sheetId="27" r:id="rId1"/>
    <sheet name="1QTR 08 " sheetId="26" r:id="rId2"/>
    <sheet name="Balance Sheet Jan - Mar 2008" sheetId="2" r:id="rId3"/>
    <sheet name="Balance Sheet 2007" sheetId="12" r:id="rId4"/>
    <sheet name="Sheet13" sheetId="13" r:id="rId5"/>
    <sheet name="Sheet14" sheetId="14" r:id="rId6"/>
    <sheet name="Sheet15" sheetId="15" r:id="rId7"/>
    <sheet name="Sheet16" sheetId="16" r:id="rId8"/>
    <sheet name="Sheet17" sheetId="17" r:id="rId9"/>
    <sheet name="Sheet18" sheetId="18" r:id="rId10"/>
    <sheet name="Sheet19" sheetId="19" r:id="rId11"/>
    <sheet name="Sheet20" sheetId="20" r:id="rId12"/>
    <sheet name="Sheet21" sheetId="21" r:id="rId13"/>
    <sheet name="Sheet22" sheetId="22" r:id="rId14"/>
    <sheet name="Sheet23" sheetId="23" r:id="rId15"/>
    <sheet name="Sheet24" sheetId="24" r:id="rId16"/>
    <sheet name="Sheet25" sheetId="25" r:id="rId17"/>
  </sheets>
  <definedNames>
    <definedName name="_xlnm.Print_Titles" localSheetId="1">'1QTR 08 '!$A:$G,'1QTR 08 '!$1:$1</definedName>
    <definedName name="_xlnm.Print_Titles" localSheetId="3">'Balance Sheet 2007'!$A:$F,'Balance Sheet 2007'!$1:$1</definedName>
    <definedName name="_xlnm.Print_Titles" localSheetId="2">'Balance Sheet Jan - Mar 2008'!$A:$F,'Balance Sheet Jan - Mar 2008'!$1:$1</definedName>
    <definedName name="_xlnm.Print_Titles" localSheetId="0">'Jan - Dec 2007 Financial Stat'!$A:$G,'Jan - Dec 2007 Financial Stat'!$1:$1</definedName>
  </definedNames>
  <calcPr calcId="125725"/>
</workbook>
</file>

<file path=xl/calcChain.xml><?xml version="1.0" encoding="utf-8"?>
<calcChain xmlns="http://schemas.openxmlformats.org/spreadsheetml/2006/main">
  <c r="H191" i="26"/>
  <c r="H264" i="27"/>
  <c r="H265" s="1"/>
  <c r="H257"/>
  <c r="H258" s="1"/>
  <c r="H245"/>
  <c r="H238"/>
  <c r="H231"/>
  <c r="H223"/>
  <c r="H219"/>
  <c r="H207"/>
  <c r="H210" s="1"/>
  <c r="H195"/>
  <c r="H181"/>
  <c r="H172"/>
  <c r="H166"/>
  <c r="H160"/>
  <c r="H153"/>
  <c r="H147"/>
  <c r="H141"/>
  <c r="H129"/>
  <c r="H120"/>
  <c r="H116"/>
  <c r="H108"/>
  <c r="H98"/>
  <c r="H82"/>
  <c r="H88" s="1"/>
  <c r="H69"/>
  <c r="H53"/>
  <c r="H46"/>
  <c r="H36"/>
  <c r="H29"/>
  <c r="H21"/>
  <c r="H14"/>
  <c r="H10"/>
  <c r="H30" s="1"/>
  <c r="H37" s="1"/>
  <c r="G19" i="2"/>
  <c r="H188" i="26"/>
  <c r="H189" s="1"/>
  <c r="H190" s="1"/>
  <c r="H181"/>
  <c r="H175"/>
  <c r="H170"/>
  <c r="H164"/>
  <c r="H165" s="1"/>
  <c r="H154"/>
  <c r="H146"/>
  <c r="H140"/>
  <c r="H136"/>
  <c r="H130"/>
  <c r="H124"/>
  <c r="H119"/>
  <c r="H114"/>
  <c r="H104"/>
  <c r="H98"/>
  <c r="H93"/>
  <c r="H86"/>
  <c r="H77"/>
  <c r="H65"/>
  <c r="H69" s="1"/>
  <c r="H55"/>
  <c r="H45"/>
  <c r="H38"/>
  <c r="H30"/>
  <c r="H24"/>
  <c r="H16"/>
  <c r="H11"/>
  <c r="G163" i="2"/>
  <c r="G158"/>
  <c r="G157"/>
  <c r="G156"/>
  <c r="G155"/>
  <c r="G154"/>
  <c r="G153"/>
  <c r="G152"/>
  <c r="G151"/>
  <c r="G150"/>
  <c r="G149"/>
  <c r="G148"/>
  <c r="G147"/>
  <c r="G146"/>
  <c r="G145"/>
  <c r="G144"/>
  <c r="G143"/>
  <c r="G139" i="12"/>
  <c r="G157" s="1"/>
  <c r="G160"/>
  <c r="G154"/>
  <c r="G153"/>
  <c r="G152"/>
  <c r="G151"/>
  <c r="G150"/>
  <c r="G149"/>
  <c r="G148"/>
  <c r="G147"/>
  <c r="G146"/>
  <c r="G145"/>
  <c r="G144"/>
  <c r="G143"/>
  <c r="G142"/>
  <c r="G141"/>
  <c r="G140"/>
  <c r="G11"/>
  <c r="G136" i="2"/>
  <c r="G138" s="1"/>
  <c r="G124"/>
  <c r="G126" s="1"/>
  <c r="G102"/>
  <c r="G104" s="1"/>
  <c r="G91"/>
  <c r="G83"/>
  <c r="G73"/>
  <c r="G62"/>
  <c r="G55"/>
  <c r="G56" s="1"/>
  <c r="G44"/>
  <c r="G21"/>
  <c r="G25" s="1"/>
  <c r="G13"/>
  <c r="G10"/>
  <c r="G132" i="12"/>
  <c r="G134" s="1"/>
  <c r="G120"/>
  <c r="G123" s="1"/>
  <c r="G101"/>
  <c r="G99"/>
  <c r="G85"/>
  <c r="G78"/>
  <c r="G68"/>
  <c r="G57"/>
  <c r="G51"/>
  <c r="G50"/>
  <c r="G39"/>
  <c r="G62" s="1"/>
  <c r="G19"/>
  <c r="G21" s="1"/>
  <c r="G8"/>
  <c r="G162" l="1"/>
  <c r="G102"/>
  <c r="G124" s="1"/>
  <c r="G135" s="1"/>
  <c r="H25" i="26"/>
  <c r="H31" s="1"/>
  <c r="H106"/>
  <c r="H247" i="27"/>
  <c r="H248" s="1"/>
  <c r="H132"/>
  <c r="H224"/>
  <c r="H266"/>
  <c r="G67" i="2"/>
  <c r="G105"/>
  <c r="G127" s="1"/>
  <c r="G139" s="1"/>
  <c r="G160"/>
  <c r="G165"/>
  <c r="G26"/>
  <c r="G74" s="1"/>
  <c r="G22" i="12"/>
  <c r="G69" s="1"/>
  <c r="H267" i="27" l="1"/>
</calcChain>
</file>

<file path=xl/sharedStrings.xml><?xml version="1.0" encoding="utf-8"?>
<sst xmlns="http://schemas.openxmlformats.org/spreadsheetml/2006/main" count="775" uniqueCount="428">
  <si>
    <t>ASSETS</t>
  </si>
  <si>
    <t>Current Assets</t>
  </si>
  <si>
    <t>Checking/Savings</t>
  </si>
  <si>
    <t>1101 · West Coast Checking</t>
  </si>
  <si>
    <t>1111 · Petty Cash - Tasting Room</t>
  </si>
  <si>
    <t>1112 · Petty Cash - Winery Office</t>
  </si>
  <si>
    <t>Total Checking/Savings</t>
  </si>
  <si>
    <t>Accounts Receivable</t>
  </si>
  <si>
    <t>1200 · Accounts Receivable</t>
  </si>
  <si>
    <t>Total Accounts Receivable</t>
  </si>
  <si>
    <t>Other Current Assets</t>
  </si>
  <si>
    <t>1207 · Allow for Doubtful Accounts</t>
  </si>
  <si>
    <t>1225 · Undeposited Funds</t>
  </si>
  <si>
    <t>1290 · Inventories</t>
  </si>
  <si>
    <t>1120 · Inventory Asset - Accessories</t>
  </si>
  <si>
    <t>1300 · Bottled Wine</t>
  </si>
  <si>
    <t>Total 1290 · Inventories</t>
  </si>
  <si>
    <t>1360 · Payroll Advance</t>
  </si>
  <si>
    <t>1370 · Prepaid Expenses</t>
  </si>
  <si>
    <t>Total Other Current Assets</t>
  </si>
  <si>
    <t>Total Current Assets</t>
  </si>
  <si>
    <t>Fixed Assets</t>
  </si>
  <si>
    <t>1601 · New Winery Equipment</t>
  </si>
  <si>
    <t>1602 · New Winery Water Well &amp; Equip</t>
  </si>
  <si>
    <t>1610 · Winery Equipment-Dundee</t>
  </si>
  <si>
    <t>1620 · Cooperage</t>
  </si>
  <si>
    <t>1660 · Office Assets</t>
  </si>
  <si>
    <t>1662 · Office Equipment</t>
  </si>
  <si>
    <t>1664 · Software &amp; Publications</t>
  </si>
  <si>
    <t>Total 1660 · Office Assets</t>
  </si>
  <si>
    <t>1670 · Vehicles Asset</t>
  </si>
  <si>
    <t>1600 · New Winery - Cote d' Mor</t>
  </si>
  <si>
    <t>1604 · General Construction Imprvmnts</t>
  </si>
  <si>
    <t>Total 1600 · New Winery - Cote d' Mor</t>
  </si>
  <si>
    <t>1630 · Olson Vineyard</t>
  </si>
  <si>
    <t>1631 · Vineyards in Development</t>
  </si>
  <si>
    <t>1650 · White House Improvements</t>
  </si>
  <si>
    <t>1651 · Remodeling Costs</t>
  </si>
  <si>
    <t>Total 1650 · White House Improvements</t>
  </si>
  <si>
    <t>1655 · Leasehold Impr. 440 SE Maple</t>
  </si>
  <si>
    <t>1675 · Accumulated Depreciation</t>
  </si>
  <si>
    <t>Total Fixed Assets</t>
  </si>
  <si>
    <t>Other Assets</t>
  </si>
  <si>
    <t>1680 · Capitalized Loan Fees</t>
  </si>
  <si>
    <t>1690 · Accumulated Amortization</t>
  </si>
  <si>
    <t>1700 · Deposits Made</t>
  </si>
  <si>
    <t>Total Other Assets</t>
  </si>
  <si>
    <t>TOTAL ASSETS</t>
  </si>
  <si>
    <t>LIABILITIES &amp; EQUITY</t>
  </si>
  <si>
    <t>Liabilities</t>
  </si>
  <si>
    <t>Current Liabilities</t>
  </si>
  <si>
    <t>Accounts Payable</t>
  </si>
  <si>
    <t>2000 · Accounts Payable</t>
  </si>
  <si>
    <t>2001 · GROWERS-Acc'ts Payable</t>
  </si>
  <si>
    <t>2002 · Construction Accts. Payable</t>
  </si>
  <si>
    <t>Total Accounts Payable</t>
  </si>
  <si>
    <t>Credit Cards</t>
  </si>
  <si>
    <t>2020 · American Express 7006 (3013)</t>
  </si>
  <si>
    <t>2021 · Amer.Express 71004 (1053)</t>
  </si>
  <si>
    <t>2024 · United Mileage Plus 3581</t>
  </si>
  <si>
    <t>Total Credit Cards</t>
  </si>
  <si>
    <t>Other Current Liabilities</t>
  </si>
  <si>
    <t>2060 · Credit Line (West Coast - 1758)</t>
  </si>
  <si>
    <t>2065 · Loan # 6002384</t>
  </si>
  <si>
    <t>2100 · Payroll Liabilities</t>
  </si>
  <si>
    <t>2101 · FWT &amp; FICA</t>
  </si>
  <si>
    <t>2102 · FUTA</t>
  </si>
  <si>
    <t>2103 · SWT</t>
  </si>
  <si>
    <t>2104 · SUTA</t>
  </si>
  <si>
    <t>2105 · WBF</t>
  </si>
  <si>
    <t>2110 · Health &amp; Dental Insurance</t>
  </si>
  <si>
    <t>Total 2100 · Payroll Liabilities</t>
  </si>
  <si>
    <t>2140 · Futures - Customer Deposits</t>
  </si>
  <si>
    <t>Total Other Current Liabilities</t>
  </si>
  <si>
    <t>Total Current Liabilities</t>
  </si>
  <si>
    <t>Long Term Liabilities</t>
  </si>
  <si>
    <t>20000 · Monthly Payments</t>
  </si>
  <si>
    <t>2029 · Key Equipment Lease (Copier)</t>
  </si>
  <si>
    <t>2050 · Kubota Credit Corp - Loan 13151</t>
  </si>
  <si>
    <t>2037 · Financial Pac Barrel Lease 4</t>
  </si>
  <si>
    <t>2033 · Marlin Brl Lse 30445KP06 409.72</t>
  </si>
  <si>
    <t>2032 · Five Point Capital</t>
  </si>
  <si>
    <t>2031 · Marlin/Dim Fund Lease 30238KP06</t>
  </si>
  <si>
    <t>2030 · Dimension Fndg Lease 15141KP06</t>
  </si>
  <si>
    <t>Total 20000 · Monthly Payments</t>
  </si>
  <si>
    <t>2070 · WC Equipment Loan 1759</t>
  </si>
  <si>
    <t>Total Long Term Liabilities</t>
  </si>
  <si>
    <t>Total Liabilities</t>
  </si>
  <si>
    <t>Equity</t>
  </si>
  <si>
    <t>2920 · Member's Equity - Donald Olson</t>
  </si>
  <si>
    <t>2924 · Contributions</t>
  </si>
  <si>
    <t>2925 · Draws</t>
  </si>
  <si>
    <t>2920 · Member's Equity - Donald Olson - Other</t>
  </si>
  <si>
    <t>Total 2920 · Member's Equity - Donald Olson</t>
  </si>
  <si>
    <t>Net Income</t>
  </si>
  <si>
    <t>Total Equity</t>
  </si>
  <si>
    <t>TOTAL LIABILITIES &amp; EQUITY</t>
  </si>
  <si>
    <t>1665 · TR Area Improvements/Jap Garden</t>
  </si>
  <si>
    <t>1685 · Capitalized Interest</t>
  </si>
  <si>
    <t>2028 · Ford Escape HB Loan</t>
  </si>
  <si>
    <t>1672 · Boat Purchase &amp; Restoration</t>
  </si>
  <si>
    <t>2023 · Lowe's Business Account</t>
  </si>
  <si>
    <t>1603 · New Winery Security System</t>
  </si>
  <si>
    <t>1604 · General Construction Imprvmnts - Other</t>
  </si>
  <si>
    <t>Total 1604 · General Construction Imprvmnts</t>
  </si>
  <si>
    <t>1342 · Current Vintage-to be allocated</t>
  </si>
  <si>
    <t>1605 · Solar Array</t>
  </si>
  <si>
    <t>2022 · Oregon Dept. of Energy Loan</t>
  </si>
  <si>
    <t>1640 · Barrel Racks</t>
  </si>
  <si>
    <t>1652 · Furnishings</t>
  </si>
  <si>
    <t>2038 · Entrps '07 Barrel Lse (1303.32)</t>
  </si>
  <si>
    <t>2926 · Owner's Life Insurance</t>
  </si>
  <si>
    <t>1590 · Office furn - New Winery</t>
  </si>
  <si>
    <t>2003 · Lawyers Acct. Payable</t>
  </si>
  <si>
    <t>1589 · Office Equipment - New Winery</t>
  </si>
  <si>
    <t>2010 · Newberg Hardware Credit</t>
  </si>
  <si>
    <t>2027 · Staple's Credit Account</t>
  </si>
  <si>
    <t>1673 · Dundee Forklift 3500#</t>
  </si>
  <si>
    <t>1607 · New Winery Phone System</t>
  </si>
  <si>
    <t>2017 · Synergy Lease #3 ($5139.81)</t>
  </si>
  <si>
    <t>2016 · Synergy Lease #2 ($907)</t>
  </si>
  <si>
    <t>2015 · Synergy Lease #1 ($450)</t>
  </si>
  <si>
    <t>2014 · Synergy Lease #4 (455.42)</t>
  </si>
  <si>
    <t>1606 · Appraisal</t>
  </si>
  <si>
    <t>1654 · Landscape Improvements 18365</t>
  </si>
  <si>
    <t>2061 · State Continuance Health Insura</t>
  </si>
  <si>
    <t>1595 · Other Equipment</t>
  </si>
  <si>
    <t>1636 · Greenhouse</t>
  </si>
  <si>
    <t>1625 · Real Property Lot 68</t>
  </si>
  <si>
    <t>1608 · Cap. Interest on New Winery</t>
  </si>
  <si>
    <t>2039 · Entrpr Equip &amp; Brl Lse (762.84)</t>
  </si>
  <si>
    <t>2927 · Deeds from Donald R. Olson</t>
  </si>
  <si>
    <t>Dec 31, 07</t>
  </si>
  <si>
    <t>1355 · Bulk Wine - '07</t>
  </si>
  <si>
    <t>1597 · Artwork for Winery</t>
  </si>
  <si>
    <t>2078 · Accrued Wages, Taxes &amp; Benefits</t>
  </si>
  <si>
    <t>2100 · Payroll Liabilities - Other</t>
  </si>
  <si>
    <t>2013 · Forklift Loan #6002343</t>
  </si>
  <si>
    <t>Mar 31, 08</t>
  </si>
  <si>
    <t>1102 · Cash Account</t>
  </si>
  <si>
    <t>1195 · Barter Account</t>
  </si>
  <si>
    <t>1635 · Vineyard Equipment</t>
  </si>
  <si>
    <t>2018 · Acura Lease</t>
  </si>
  <si>
    <t>3000 · Retained Earnings</t>
  </si>
  <si>
    <t>Loan Payments</t>
  </si>
  <si>
    <t>Annual Payments</t>
  </si>
  <si>
    <t>EBITDA</t>
  </si>
  <si>
    <t>EBITDA Calculation</t>
  </si>
  <si>
    <t>Total Loan Payments</t>
  </si>
  <si>
    <t>Qrtly Payments</t>
  </si>
  <si>
    <t>Jan - Mar 08</t>
  </si>
  <si>
    <t>Ordinary Income/Expense</t>
  </si>
  <si>
    <t>Income</t>
  </si>
  <si>
    <t>4100 · Sales Income</t>
  </si>
  <si>
    <t>4104 · Wine Sales</t>
  </si>
  <si>
    <t>4105 · Accessory Sales</t>
  </si>
  <si>
    <t>4106 · By the Glass Wine Sales</t>
  </si>
  <si>
    <t>4107 · Tasting Fees</t>
  </si>
  <si>
    <t>4110 · Other Sales</t>
  </si>
  <si>
    <t>4100 · Sales Income - Other</t>
  </si>
  <si>
    <t>Total 4100 · Sales Income</t>
  </si>
  <si>
    <t>4120 · Rent and Lease Income</t>
  </si>
  <si>
    <t>4300 · Freight Income</t>
  </si>
  <si>
    <t>4301 · Consolidation Income Chgs</t>
  </si>
  <si>
    <t>4302 · Shipping Income</t>
  </si>
  <si>
    <t>Total 4300 · Freight Income</t>
  </si>
  <si>
    <t>4500 · Discounts</t>
  </si>
  <si>
    <t>4505 · Billback Promotion</t>
  </si>
  <si>
    <t>4501 · Retail Discounts</t>
  </si>
  <si>
    <t>4502 · Wine Club Discounts</t>
  </si>
  <si>
    <t>4503 · Employee Discounts</t>
  </si>
  <si>
    <t>4508 · Tasting Fee Refunds</t>
  </si>
  <si>
    <t>4510 · Futures Discounts</t>
  </si>
  <si>
    <t>Total 4500 · Discounts</t>
  </si>
  <si>
    <t>Total Income</t>
  </si>
  <si>
    <t>Cost of Goods Sold</t>
  </si>
  <si>
    <t>4760 · COGS-Bottled Wine Current Sales</t>
  </si>
  <si>
    <t>4761 · Estimated COGS</t>
  </si>
  <si>
    <t>5001 · Cost of Goods Sold-Accessories</t>
  </si>
  <si>
    <t>Total COGS</t>
  </si>
  <si>
    <t>Gross Profit</t>
  </si>
  <si>
    <t>Expense</t>
  </si>
  <si>
    <t>4001 · Reconciliation Discrepancies</t>
  </si>
  <si>
    <t>6090 · Condolences/Get Well</t>
  </si>
  <si>
    <t>5000 · New Winery Expenses</t>
  </si>
  <si>
    <t>5024 · Cleaning - New Winery</t>
  </si>
  <si>
    <t>5028 · New Winery Supplies</t>
  </si>
  <si>
    <t>Total 5000 · New Winery Expenses</t>
  </si>
  <si>
    <t>5066 · Finance Charges</t>
  </si>
  <si>
    <t>5063 · Interest on Winery Loan</t>
  </si>
  <si>
    <t>5065 · Bank Service Charges &amp; Fees</t>
  </si>
  <si>
    <t>5067 · Late Fees</t>
  </si>
  <si>
    <t>5068 · Interest Expense</t>
  </si>
  <si>
    <t>5066 · Finance Charges - Other</t>
  </si>
  <si>
    <t>Total 5066 · Finance Charges</t>
  </si>
  <si>
    <t>5069 · Merchant Service Fees</t>
  </si>
  <si>
    <t>5080 · Donations</t>
  </si>
  <si>
    <t>5085 · Dues &amp; Subscriptions</t>
  </si>
  <si>
    <t>5088 · General Supplies</t>
  </si>
  <si>
    <t>5090 · Insurance</t>
  </si>
  <si>
    <t>5091 · Auto Insurance</t>
  </si>
  <si>
    <t>5093 · Liability Insurance</t>
  </si>
  <si>
    <t>5095 · Bond</t>
  </si>
  <si>
    <t>5100 · Workers' Comp Insurance</t>
  </si>
  <si>
    <t>Total 5090 · Insurance</t>
  </si>
  <si>
    <t>5500 · Licenses &amp; Fees</t>
  </si>
  <si>
    <t>6000 · Promotions</t>
  </si>
  <si>
    <t>6029 · Donations (Wine)</t>
  </si>
  <si>
    <t>6001 · Depletion Allowance Promotions</t>
  </si>
  <si>
    <t>6003 · Advertising</t>
  </si>
  <si>
    <t>6005 · Marketing &amp; Promotional Expense</t>
  </si>
  <si>
    <t>6050 · Boat Expenses</t>
  </si>
  <si>
    <t>6050.2 · Boat Utilities</t>
  </si>
  <si>
    <t>6050.3 · Boat Slip Rental</t>
  </si>
  <si>
    <t>Total 6050 · Boat Expenses</t>
  </si>
  <si>
    <t>6015 · Winemaker Allocations</t>
  </si>
  <si>
    <t>6020 · Owner Allocations</t>
  </si>
  <si>
    <t>6027 · Special Events</t>
  </si>
  <si>
    <t>Total 6000 · Promotions</t>
  </si>
  <si>
    <t>6100 · Travel Expenses - Marketing</t>
  </si>
  <si>
    <t>6105 · Meals</t>
  </si>
  <si>
    <t>6106 · Lodging</t>
  </si>
  <si>
    <t>6108 · Mileage &amp; Fuel</t>
  </si>
  <si>
    <t>6109 · Parking</t>
  </si>
  <si>
    <t>6110 · Air Fare</t>
  </si>
  <si>
    <t>6113 · Ground Transportation</t>
  </si>
  <si>
    <t>Total 6100 · Travel Expenses - Marketing</t>
  </si>
  <si>
    <t>6200 · Miscellaneous Expenses</t>
  </si>
  <si>
    <t>6400 · Office Expense</t>
  </si>
  <si>
    <t>6402 · Communications (Tel/Internet)</t>
  </si>
  <si>
    <t>6403 · Office Supplies</t>
  </si>
  <si>
    <t>6404 · Office Equip. Usage/Maintenance</t>
  </si>
  <si>
    <t>6406 · Other Office Expense</t>
  </si>
  <si>
    <t>6408 · Postage</t>
  </si>
  <si>
    <t>6415 · Computer Repairs/Maintenance</t>
  </si>
  <si>
    <t>Total 6400 · Office Expense</t>
  </si>
  <si>
    <t>6500 · Payroll Expenses</t>
  </si>
  <si>
    <t>6520 · Accrued Payroll</t>
  </si>
  <si>
    <t>6501 · LABOR - WINE IN PROCESS</t>
  </si>
  <si>
    <t>6501.2 · Winemaker's Salary</t>
  </si>
  <si>
    <t>6501.3 · Production Supervisor Salary</t>
  </si>
  <si>
    <t>6501.5 · Direct Production Labor</t>
  </si>
  <si>
    <t>Total 6501 · LABOR - WINE IN PROCESS</t>
  </si>
  <si>
    <t>6501.1 Salary &amp; Wages to Bal Sheet</t>
  </si>
  <si>
    <t>6502 · Health Insurance- Employees</t>
  </si>
  <si>
    <t>6502.1 · HEALTH INS to Bal Sheet</t>
  </si>
  <si>
    <t>6502 · Health Insurance- Employees - Other</t>
  </si>
  <si>
    <t>Total 6502 · Health Insurance- Employees</t>
  </si>
  <si>
    <t>6505 · General Salary and Wages</t>
  </si>
  <si>
    <t>6506 · Commissions</t>
  </si>
  <si>
    <t>6510 · Payroll Taxes</t>
  </si>
  <si>
    <t>6510.1 · PAYROLL TAX to Bal sheet</t>
  </si>
  <si>
    <t>6510 · Payroll Taxes - Other</t>
  </si>
  <si>
    <t>Total 6510 · Payroll Taxes</t>
  </si>
  <si>
    <t>6500 · Payroll Expenses - Other</t>
  </si>
  <si>
    <t>Total 6500 · Payroll Expenses</t>
  </si>
  <si>
    <t>6525 · CONTRACT LABOR CURR VNTGE</t>
  </si>
  <si>
    <t>6525.1 · CONTRACT LAB Trans to Bal Sheet</t>
  </si>
  <si>
    <t>6526 · BOTTLING LABOR CONTRACT</t>
  </si>
  <si>
    <t>6526.1 · BOTTLING LABOR to Bal Sheet</t>
  </si>
  <si>
    <t>6530 · Professional Fees</t>
  </si>
  <si>
    <t>6532 · Legal Fees</t>
  </si>
  <si>
    <t>6533 · New Winery Legal Fees</t>
  </si>
  <si>
    <t>Total 6530 · Professional Fees</t>
  </si>
  <si>
    <t>6550 · Rent</t>
  </si>
  <si>
    <t>6553 · WINERY CELLAR RENT</t>
  </si>
  <si>
    <t>6551 · Office Space/Winery Rent</t>
  </si>
  <si>
    <t>6552 · Tasting Room Rent</t>
  </si>
  <si>
    <t>Total 6550 · Rent</t>
  </si>
  <si>
    <t>6553.1 · CELLAR RENT Trans to Bal Sheet</t>
  </si>
  <si>
    <t>6559 · Maintenance &amp; Landscaping</t>
  </si>
  <si>
    <t>6560 · Landscaping Maint 5th/Maple</t>
  </si>
  <si>
    <t>6561 · TR &amp; Olson Maintenance &amp; Landsc</t>
  </si>
  <si>
    <t>Total 6559 · Maintenance &amp; Landscaping</t>
  </si>
  <si>
    <t>6570 · Security</t>
  </si>
  <si>
    <t>6599 · OWS Charges</t>
  </si>
  <si>
    <t>6600 · Cased Good Storage/ In, Out</t>
  </si>
  <si>
    <t>6650 · Consolidation Expenses</t>
  </si>
  <si>
    <t>6660 · Delivery Charges</t>
  </si>
  <si>
    <t>Total 6599 · OWS Charges</t>
  </si>
  <si>
    <t>6680 · Tasting Room Expenses</t>
  </si>
  <si>
    <t>6681 · TR Cleaning</t>
  </si>
  <si>
    <t>6684 · TR Supplies</t>
  </si>
  <si>
    <t>6685 · TR Maintenance</t>
  </si>
  <si>
    <t>6688 · TR Other Expense</t>
  </si>
  <si>
    <t>Total 6680 · Tasting Room Expenses</t>
  </si>
  <si>
    <t>6700 · Taxes - Non-Payroll</t>
  </si>
  <si>
    <t>6708 · Property Tax</t>
  </si>
  <si>
    <t>6702 · Excise Tax</t>
  </si>
  <si>
    <t>Total 6700 · Taxes - Non-Payroll</t>
  </si>
  <si>
    <t>6800 · Trademark Expenses</t>
  </si>
  <si>
    <t>7600 · BULK VINEYARD COSTS (Olson)</t>
  </si>
  <si>
    <t>7605 · Vineyard Equipment</t>
  </si>
  <si>
    <t>7608 · Vineyard Supplies</t>
  </si>
  <si>
    <t>7609 · Vineyard Equipment Rental</t>
  </si>
  <si>
    <t>Total 7600 · BULK VINEYARD COSTS (Olson)</t>
  </si>
  <si>
    <t>7600.1 · VINEYD COSTS Trans to Bal Sheet</t>
  </si>
  <si>
    <t>7700 · BULK WINE COSTS</t>
  </si>
  <si>
    <t>7703 · Fuel &amp; Transportation Cost</t>
  </si>
  <si>
    <t>7702 · Freight-Bulk Wine Costs</t>
  </si>
  <si>
    <t>7708 · Equipment-Bulk Wine Production</t>
  </si>
  <si>
    <t>7712 · Lab Expense</t>
  </si>
  <si>
    <t>7714 · Bulk Wine Supplies</t>
  </si>
  <si>
    <t>Total 7700 · BULK WINE COSTS</t>
  </si>
  <si>
    <t>7700.1 · BULK WINE Trans To Bal Sheet</t>
  </si>
  <si>
    <t>7750 · WINE IN PROCESS</t>
  </si>
  <si>
    <t>7751 · Bottling/Packaging</t>
  </si>
  <si>
    <t>7752 · Bottling Rental &amp; Service</t>
  </si>
  <si>
    <t>7755 · Labels</t>
  </si>
  <si>
    <t>7756 · Glass</t>
  </si>
  <si>
    <t>7758 · Corks</t>
  </si>
  <si>
    <t>7759 · Tin Capsules/Foils</t>
  </si>
  <si>
    <t>7760 · Boxes</t>
  </si>
  <si>
    <t>Total 7751 · Bottling/Packaging</t>
  </si>
  <si>
    <t>Total 7750 · WINE IN PROCESS</t>
  </si>
  <si>
    <t>7750.1 · WINE IN PROCESS to BalSheet</t>
  </si>
  <si>
    <t>7800 · Utilities</t>
  </si>
  <si>
    <t>7801 · Garbage Service</t>
  </si>
  <si>
    <t>7802 · Winery - Utilities</t>
  </si>
  <si>
    <t>Total 7800 · Utilities</t>
  </si>
  <si>
    <t>8000 · Vehicle &amp; Equip Expenses</t>
  </si>
  <si>
    <t>8005 · Vehicle Lease Payments</t>
  </si>
  <si>
    <t>8006 · Vehicle Repairs &amp; Maintenance</t>
  </si>
  <si>
    <t>8007 · Registration &amp; License</t>
  </si>
  <si>
    <t>Total 8000 · Vehicle &amp; Equip Expenses</t>
  </si>
  <si>
    <t>8402 · Winery Shipping</t>
  </si>
  <si>
    <t>8404 · Winery Shipping Expense</t>
  </si>
  <si>
    <t>8420 · Wine Club Supplies</t>
  </si>
  <si>
    <t>8430 · Wine Club Shipments</t>
  </si>
  <si>
    <t>8402 · Winery Shipping - Other</t>
  </si>
  <si>
    <t>Total 8402 · Winery Shipping</t>
  </si>
  <si>
    <t>Total Expense</t>
  </si>
  <si>
    <t>Net Ordinary Income</t>
  </si>
  <si>
    <t>Other Income/Expense</t>
  </si>
  <si>
    <t>Other Expense</t>
  </si>
  <si>
    <t>9000 · Other Expenses</t>
  </si>
  <si>
    <t>9900 · Pinot Station Close-Out Expense</t>
  </si>
  <si>
    <t>Total 9000 · Other Expenses</t>
  </si>
  <si>
    <t>Total Other Expense</t>
  </si>
  <si>
    <t>Net Other Income</t>
  </si>
  <si>
    <t>Jan - Dec 07</t>
  </si>
  <si>
    <t>4121 · Prop. Tax Pass Through</t>
  </si>
  <si>
    <t>4120 · Rent and Lease Income - Other</t>
  </si>
  <si>
    <t>Total 4120 · Rent and Lease Income</t>
  </si>
  <si>
    <t>4125 · Water Sales</t>
  </si>
  <si>
    <t>4130 · Service Shared</t>
  </si>
  <si>
    <t>4150 · Bulk Wine Sales</t>
  </si>
  <si>
    <t>4780 · COGS - Water</t>
  </si>
  <si>
    <t>4870 · Fees for BETC</t>
  </si>
  <si>
    <t>4850 · Automobile Maintenance</t>
  </si>
  <si>
    <t>4890 · TM Water Expenses</t>
  </si>
  <si>
    <t>5025 · Communications - New Winery</t>
  </si>
  <si>
    <t>5027 · Moving Expense</t>
  </si>
  <si>
    <t>5060 · Bad Debt</t>
  </si>
  <si>
    <t>5064 · Loan Fees</t>
  </si>
  <si>
    <t>5070 · Conferences &amp; Seminars</t>
  </si>
  <si>
    <t>5086 · Distributor Commissions</t>
  </si>
  <si>
    <t>5087 · Equipment Repair (Other)</t>
  </si>
  <si>
    <t>5095.1 · Holding fees for ODE - Bond</t>
  </si>
  <si>
    <t>5096 · Crop Disaster Insurance</t>
  </si>
  <si>
    <t>5099 · Transportation Coverage</t>
  </si>
  <si>
    <t>5800 · Olson Estate General Expenses</t>
  </si>
  <si>
    <t>6050.1 · Live Aboard Fee</t>
  </si>
  <si>
    <t>6050.4 · Other Boat Expenses</t>
  </si>
  <si>
    <t>6010 · Grower Allocations</t>
  </si>
  <si>
    <t>6025 · Wine Club Events</t>
  </si>
  <si>
    <t>6028 · Pinot Camp (OPC)</t>
  </si>
  <si>
    <t>6112 · Miscellaneous travel expenses</t>
  </si>
  <si>
    <t>6114 · Car Rental</t>
  </si>
  <si>
    <t>6401 · Cleaning - Office</t>
  </si>
  <si>
    <t>6501.4 · Production Consultant Salary</t>
  </si>
  <si>
    <t>6503 · Holiday Pay</t>
  </si>
  <si>
    <t>6504 · Sick Pay</t>
  </si>
  <si>
    <t>6508 · Direct Deposit Service Fees</t>
  </si>
  <si>
    <t>6511 · Severance Pay</t>
  </si>
  <si>
    <t>6501.1 · SALARY &amp; WAGES to Bal Sheet</t>
  </si>
  <si>
    <t>6531 · Accounting Fees</t>
  </si>
  <si>
    <t>6538 · Water Issue Legal Fees</t>
  </si>
  <si>
    <t>6540 · Reimbursable Expenses</t>
  </si>
  <si>
    <t>6565 · Winery Facility Repairs/Mainten</t>
  </si>
  <si>
    <t>6580 · Subcontractor (Marketing)</t>
  </si>
  <si>
    <t>6703 · Grape Tax</t>
  </si>
  <si>
    <t>6706 · Personal Property Tax</t>
  </si>
  <si>
    <t>7601 · Chemicals</t>
  </si>
  <si>
    <t>7606 · Irrigation</t>
  </si>
  <si>
    <t>7607 · Fuel for Vineyard</t>
  </si>
  <si>
    <t>7706 · Crush Expense</t>
  </si>
  <si>
    <t>7710 · Grapes - Current Harvest</t>
  </si>
  <si>
    <t>7711 · Grapes - Previous Harvest</t>
  </si>
  <si>
    <t>7715 · Racking</t>
  </si>
  <si>
    <t>7716 · Filtering</t>
  </si>
  <si>
    <t>7717 · De-Alcoholization</t>
  </si>
  <si>
    <t>7769 · Wax</t>
  </si>
  <si>
    <t>7761 · Other Packaging</t>
  </si>
  <si>
    <t>7773 · 06 Contract Labor</t>
  </si>
  <si>
    <t>7775 · 06 Grape Cost Adjustment</t>
  </si>
  <si>
    <t>7779 · WINE CONTRACT PAYMENTS (WBJ)</t>
  </si>
  <si>
    <t>7780 · COMPLETED</t>
  </si>
  <si>
    <t>7779.3 · Whites Contract</t>
  </si>
  <si>
    <t>7779.4 · Larkin Estate PB</t>
  </si>
  <si>
    <t>7779.5 · GW Contract</t>
  </si>
  <si>
    <t>7779.6 · Larkin Estate PG (BRANDY)</t>
  </si>
  <si>
    <t>7779.7 · Rose Contract (BRANDY)</t>
  </si>
  <si>
    <t>Total 7780 · COMPLETED</t>
  </si>
  <si>
    <t>7781 · INCOMPLETE Contract Activity</t>
  </si>
  <si>
    <t>7779.2 · Port Contract</t>
  </si>
  <si>
    <t>7779.1 · Reds Contract</t>
  </si>
  <si>
    <t>Total 7781 · INCOMPLETE Contract Activity</t>
  </si>
  <si>
    <t>Total 7779 · WINE CONTRACT PAYMENTS (WBJ)</t>
  </si>
  <si>
    <t>7781.5 · WINE CONTRACT TRANS TO BalSheet</t>
  </si>
  <si>
    <t>7785 · 2005 Tin Capsules</t>
  </si>
  <si>
    <t>7790 · Freight/Trucking Expense</t>
  </si>
  <si>
    <t>8008 · Fuel</t>
  </si>
  <si>
    <t>8009 · Equipment Repairs &amp; Maintenance</t>
  </si>
  <si>
    <t>8435 · Rental - Winery Equipment</t>
  </si>
  <si>
    <t>8406 · Shipping Materials - Winery</t>
  </si>
  <si>
    <t>8442 · Int'l Handling Labels</t>
  </si>
  <si>
    <t>Other Income</t>
  </si>
  <si>
    <t>8500 · Other Income</t>
  </si>
  <si>
    <t>8609 · BETC Tax Credit Sale</t>
  </si>
  <si>
    <t>8680 · Other Rebates</t>
  </si>
  <si>
    <t>8526 · Dividends</t>
  </si>
  <si>
    <t>8650 · Recovery for Damaged Wine</t>
  </si>
  <si>
    <t>8670 · Energy Rebate Funds</t>
  </si>
  <si>
    <t>Total 8500 · Other Income</t>
  </si>
  <si>
    <t>Total Other Income</t>
  </si>
  <si>
    <t>9905 · Write Off - Pinot Station</t>
  </si>
  <si>
    <t>9805 · P/S Utilities 240 SE 5th St.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</si>
</sst>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.00;\-#,##0.00"/>
    <numFmt numFmtId="165" formatCode="_(* #,##0_);_(* \(#,##0\);_(* &quot;-&quot;??_);_(@_)"/>
  </numFmts>
  <fonts count="10">
    <font>
      <sz val="10"/>
      <name val="Arial"/>
    </font>
    <font>
      <sz val="10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  <family val="2"/>
    </font>
    <font>
      <b/>
      <u/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50">
    <xf numFmtId="0" fontId="0" fillId="0" borderId="0" xfId="0"/>
    <xf numFmtId="49" fontId="2" fillId="0" borderId="0" xfId="0" applyNumberFormat="1" applyFont="1"/>
    <xf numFmtId="40" fontId="3" fillId="0" borderId="0" xfId="0" applyNumberFormat="1" applyFont="1"/>
    <xf numFmtId="40" fontId="3" fillId="0" borderId="1" xfId="0" applyNumberFormat="1" applyFont="1" applyBorder="1"/>
    <xf numFmtId="40" fontId="3" fillId="0" borderId="2" xfId="0" applyNumberFormat="1" applyFont="1" applyBorder="1"/>
    <xf numFmtId="40" fontId="2" fillId="0" borderId="3" xfId="0" applyNumberFormat="1" applyFont="1" applyBorder="1"/>
    <xf numFmtId="0" fontId="2" fillId="0" borderId="0" xfId="0" applyFont="1"/>
    <xf numFmtId="49" fontId="2" fillId="0" borderId="0" xfId="0" applyNumberFormat="1" applyFont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NumberFormat="1" applyFont="1"/>
    <xf numFmtId="0" fontId="0" fillId="0" borderId="0" xfId="0" applyNumberFormat="1"/>
    <xf numFmtId="164" fontId="3" fillId="0" borderId="0" xfId="0" applyNumberFormat="1" applyFont="1"/>
    <xf numFmtId="164" fontId="3" fillId="0" borderId="1" xfId="0" applyNumberFormat="1" applyFont="1" applyBorder="1"/>
    <xf numFmtId="164" fontId="3" fillId="0" borderId="2" xfId="0" applyNumberFormat="1" applyFont="1" applyBorder="1"/>
    <xf numFmtId="164" fontId="2" fillId="0" borderId="3" xfId="0" applyNumberFormat="1" applyFont="1" applyBorder="1"/>
    <xf numFmtId="0" fontId="2" fillId="0" borderId="6" xfId="0" applyNumberFormat="1" applyFont="1" applyBorder="1"/>
    <xf numFmtId="0" fontId="2" fillId="0" borderId="7" xfId="0" applyNumberFormat="1" applyFont="1" applyBorder="1"/>
    <xf numFmtId="0" fontId="0" fillId="0" borderId="8" xfId="0" applyNumberFormat="1" applyBorder="1"/>
    <xf numFmtId="0" fontId="5" fillId="0" borderId="9" xfId="0" applyNumberFormat="1" applyFont="1" applyBorder="1"/>
    <xf numFmtId="0" fontId="2" fillId="0" borderId="0" xfId="0" applyNumberFormat="1" applyFont="1" applyBorder="1"/>
    <xf numFmtId="0" fontId="8" fillId="0" borderId="10" xfId="0" applyNumberFormat="1" applyFont="1" applyBorder="1" applyAlignment="1">
      <alignment horizontal="center"/>
    </xf>
    <xf numFmtId="0" fontId="2" fillId="0" borderId="9" xfId="0" applyNumberFormat="1" applyFont="1" applyBorder="1"/>
    <xf numFmtId="0" fontId="0" fillId="0" borderId="10" xfId="0" applyNumberFormat="1" applyBorder="1"/>
    <xf numFmtId="49" fontId="2" fillId="0" borderId="0" xfId="0" applyNumberFormat="1" applyFont="1" applyBorder="1"/>
    <xf numFmtId="165" fontId="7" fillId="0" borderId="10" xfId="1" applyNumberFormat="1" applyFont="1" applyBorder="1"/>
    <xf numFmtId="165" fontId="7" fillId="0" borderId="11" xfId="1" applyNumberFormat="1" applyFont="1" applyBorder="1"/>
    <xf numFmtId="165" fontId="7" fillId="0" borderId="10" xfId="0" applyNumberFormat="1" applyFont="1" applyBorder="1"/>
    <xf numFmtId="0" fontId="4" fillId="0" borderId="0" xfId="0" applyNumberFormat="1" applyFont="1" applyBorder="1"/>
    <xf numFmtId="0" fontId="2" fillId="0" borderId="12" xfId="0" applyNumberFormat="1" applyFont="1" applyBorder="1"/>
    <xf numFmtId="0" fontId="4" fillId="0" borderId="5" xfId="0" applyNumberFormat="1" applyFont="1" applyBorder="1"/>
    <xf numFmtId="0" fontId="2" fillId="0" borderId="5" xfId="0" applyNumberFormat="1" applyFont="1" applyBorder="1"/>
    <xf numFmtId="43" fontId="7" fillId="0" borderId="11" xfId="0" applyNumberFormat="1" applyFont="1" applyBorder="1"/>
    <xf numFmtId="164" fontId="9" fillId="0" borderId="1" xfId="0" applyNumberFormat="1" applyFont="1" applyBorder="1"/>
    <xf numFmtId="49" fontId="4" fillId="0" borderId="0" xfId="2" applyNumberFormat="1" applyFont="1" applyAlignment="1">
      <alignment horizontal="center"/>
    </xf>
    <xf numFmtId="49" fontId="4" fillId="0" borderId="4" xfId="2" applyNumberFormat="1" applyFont="1" applyBorder="1" applyAlignment="1">
      <alignment horizontal="center"/>
    </xf>
    <xf numFmtId="0" fontId="6" fillId="0" borderId="0" xfId="2" applyAlignment="1">
      <alignment horizontal="center"/>
    </xf>
    <xf numFmtId="49" fontId="4" fillId="0" borderId="0" xfId="2" applyNumberFormat="1" applyFont="1"/>
    <xf numFmtId="164" fontId="9" fillId="0" borderId="0" xfId="2" applyNumberFormat="1" applyFont="1"/>
    <xf numFmtId="0" fontId="6" fillId="0" borderId="0" xfId="2"/>
    <xf numFmtId="164" fontId="9" fillId="0" borderId="1" xfId="2" applyNumberFormat="1" applyFont="1" applyBorder="1"/>
    <xf numFmtId="164" fontId="9" fillId="0" borderId="2" xfId="2" applyNumberFormat="1" applyFont="1" applyBorder="1"/>
    <xf numFmtId="0" fontId="4" fillId="0" borderId="0" xfId="2" applyFont="1"/>
    <xf numFmtId="164" fontId="4" fillId="0" borderId="3" xfId="2" applyNumberFormat="1" applyFont="1" applyBorder="1"/>
    <xf numFmtId="0" fontId="4" fillId="0" borderId="0" xfId="2" applyNumberFormat="1" applyFont="1"/>
    <xf numFmtId="0" fontId="6" fillId="0" borderId="0" xfId="2" applyNumberFormat="1"/>
    <xf numFmtId="40" fontId="9" fillId="0" borderId="0" xfId="2" applyNumberFormat="1" applyFont="1"/>
    <xf numFmtId="40" fontId="9" fillId="0" borderId="1" xfId="2" applyNumberFormat="1" applyFont="1" applyBorder="1"/>
    <xf numFmtId="40" fontId="9" fillId="0" borderId="2" xfId="2" applyNumberFormat="1" applyFont="1" applyBorder="1"/>
    <xf numFmtId="40" fontId="4" fillId="0" borderId="3" xfId="2" applyNumberFormat="1" applyFont="1" applyBorder="1"/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8"/>
  <sheetViews>
    <sheetView workbookViewId="0">
      <pane xSplit="7" ySplit="1" topLeftCell="H2" activePane="bottomRight" state="frozenSplit"/>
      <selection pane="topRight" activeCell="H1" sqref="H1"/>
      <selection pane="bottomLeft" activeCell="A2" sqref="A2"/>
      <selection pane="bottomRight"/>
    </sheetView>
  </sheetViews>
  <sheetFormatPr defaultRowHeight="12.75"/>
  <cols>
    <col min="1" max="6" width="3" style="44" customWidth="1"/>
    <col min="7" max="7" width="31.42578125" style="44" customWidth="1"/>
    <col min="8" max="8" width="13.85546875" style="45" customWidth="1"/>
    <col min="9" max="16384" width="9.140625" style="39"/>
  </cols>
  <sheetData>
    <row r="1" spans="1:8" s="36" customFormat="1" ht="13.5" thickBot="1">
      <c r="A1" s="34"/>
      <c r="B1" s="34"/>
      <c r="C1" s="34"/>
      <c r="D1" s="34"/>
      <c r="E1" s="34"/>
      <c r="F1" s="34"/>
      <c r="G1" s="34"/>
      <c r="H1" s="35" t="s">
        <v>340</v>
      </c>
    </row>
    <row r="2" spans="1:8" ht="13.5" thickTop="1">
      <c r="A2" s="37"/>
      <c r="B2" s="37" t="s">
        <v>151</v>
      </c>
      <c r="C2" s="37"/>
      <c r="D2" s="37"/>
      <c r="E2" s="37"/>
      <c r="F2" s="37"/>
      <c r="G2" s="37"/>
      <c r="H2" s="46"/>
    </row>
    <row r="3" spans="1:8">
      <c r="A3" s="37"/>
      <c r="B3" s="37"/>
      <c r="C3" s="37"/>
      <c r="D3" s="37" t="s">
        <v>152</v>
      </c>
      <c r="E3" s="37"/>
      <c r="F3" s="37"/>
      <c r="G3" s="37"/>
      <c r="H3" s="46"/>
    </row>
    <row r="4" spans="1:8">
      <c r="A4" s="37"/>
      <c r="B4" s="37"/>
      <c r="C4" s="37"/>
      <c r="D4" s="37"/>
      <c r="E4" s="37" t="s">
        <v>153</v>
      </c>
      <c r="F4" s="37"/>
      <c r="G4" s="37"/>
      <c r="H4" s="46"/>
    </row>
    <row r="5" spans="1:8">
      <c r="A5" s="37"/>
      <c r="B5" s="37"/>
      <c r="C5" s="37"/>
      <c r="D5" s="37"/>
      <c r="E5" s="37"/>
      <c r="F5" s="37" t="s">
        <v>154</v>
      </c>
      <c r="G5" s="37"/>
      <c r="H5" s="46">
        <v>2141035.84</v>
      </c>
    </row>
    <row r="6" spans="1:8">
      <c r="A6" s="37"/>
      <c r="B6" s="37"/>
      <c r="C6" s="37"/>
      <c r="D6" s="37"/>
      <c r="E6" s="37"/>
      <c r="F6" s="37" t="s">
        <v>155</v>
      </c>
      <c r="G6" s="37"/>
      <c r="H6" s="46">
        <v>18250.650000000001</v>
      </c>
    </row>
    <row r="7" spans="1:8">
      <c r="A7" s="37"/>
      <c r="B7" s="37"/>
      <c r="C7" s="37"/>
      <c r="D7" s="37"/>
      <c r="E7" s="37"/>
      <c r="F7" s="37" t="s">
        <v>156</v>
      </c>
      <c r="G7" s="37"/>
      <c r="H7" s="46">
        <v>1595</v>
      </c>
    </row>
    <row r="8" spans="1:8">
      <c r="A8" s="37"/>
      <c r="B8" s="37"/>
      <c r="C8" s="37"/>
      <c r="D8" s="37"/>
      <c r="E8" s="37"/>
      <c r="F8" s="37" t="s">
        <v>157</v>
      </c>
      <c r="G8" s="37"/>
      <c r="H8" s="46">
        <v>106861</v>
      </c>
    </row>
    <row r="9" spans="1:8" ht="13.5" thickBot="1">
      <c r="A9" s="37"/>
      <c r="B9" s="37"/>
      <c r="C9" s="37"/>
      <c r="D9" s="37"/>
      <c r="E9" s="37"/>
      <c r="F9" s="37" t="s">
        <v>158</v>
      </c>
      <c r="G9" s="37"/>
      <c r="H9" s="47">
        <v>1732</v>
      </c>
    </row>
    <row r="10" spans="1:8">
      <c r="A10" s="37"/>
      <c r="B10" s="37"/>
      <c r="C10" s="37"/>
      <c r="D10" s="37"/>
      <c r="E10" s="37" t="s">
        <v>160</v>
      </c>
      <c r="F10" s="37"/>
      <c r="G10" s="37"/>
      <c r="H10" s="46">
        <f>ROUND(SUM(H4:H9),5)</f>
        <v>2269474.4900000002</v>
      </c>
    </row>
    <row r="11" spans="1:8" ht="26.45" customHeight="1">
      <c r="A11" s="37"/>
      <c r="B11" s="37"/>
      <c r="C11" s="37"/>
      <c r="D11" s="37"/>
      <c r="E11" s="37" t="s">
        <v>161</v>
      </c>
      <c r="F11" s="37"/>
      <c r="G11" s="37"/>
      <c r="H11" s="46"/>
    </row>
    <row r="12" spans="1:8">
      <c r="A12" s="37"/>
      <c r="B12" s="37"/>
      <c r="C12" s="37"/>
      <c r="D12" s="37"/>
      <c r="E12" s="37"/>
      <c r="F12" s="37" t="s">
        <v>341</v>
      </c>
      <c r="G12" s="37"/>
      <c r="H12" s="46">
        <v>8851</v>
      </c>
    </row>
    <row r="13" spans="1:8" ht="13.5" thickBot="1">
      <c r="A13" s="37"/>
      <c r="B13" s="37"/>
      <c r="C13" s="37"/>
      <c r="D13" s="37"/>
      <c r="E13" s="37"/>
      <c r="F13" s="37" t="s">
        <v>342</v>
      </c>
      <c r="G13" s="37"/>
      <c r="H13" s="47">
        <v>142579.79</v>
      </c>
    </row>
    <row r="14" spans="1:8">
      <c r="A14" s="37"/>
      <c r="B14" s="37"/>
      <c r="C14" s="37"/>
      <c r="D14" s="37"/>
      <c r="E14" s="37" t="s">
        <v>343</v>
      </c>
      <c r="F14" s="37"/>
      <c r="G14" s="37"/>
      <c r="H14" s="46">
        <f>ROUND(SUM(H11:H13),5)</f>
        <v>151430.79</v>
      </c>
    </row>
    <row r="15" spans="1:8" ht="26.45" customHeight="1">
      <c r="A15" s="37"/>
      <c r="B15" s="37"/>
      <c r="C15" s="37"/>
      <c r="D15" s="37"/>
      <c r="E15" s="37" t="s">
        <v>344</v>
      </c>
      <c r="F15" s="37"/>
      <c r="G15" s="37"/>
      <c r="H15" s="46">
        <v>650</v>
      </c>
    </row>
    <row r="16" spans="1:8">
      <c r="A16" s="37"/>
      <c r="B16" s="37"/>
      <c r="C16" s="37"/>
      <c r="D16" s="37"/>
      <c r="E16" s="37" t="s">
        <v>345</v>
      </c>
      <c r="F16" s="37"/>
      <c r="G16" s="37"/>
      <c r="H16" s="46">
        <v>466.81</v>
      </c>
    </row>
    <row r="17" spans="1:8">
      <c r="A17" s="37"/>
      <c r="B17" s="37"/>
      <c r="C17" s="37"/>
      <c r="D17" s="37"/>
      <c r="E17" s="37" t="s">
        <v>346</v>
      </c>
      <c r="F17" s="37"/>
      <c r="G17" s="37"/>
      <c r="H17" s="46">
        <v>528</v>
      </c>
    </row>
    <row r="18" spans="1:8">
      <c r="A18" s="37"/>
      <c r="B18" s="37"/>
      <c r="C18" s="37"/>
      <c r="D18" s="37"/>
      <c r="E18" s="37" t="s">
        <v>162</v>
      </c>
      <c r="F18" s="37"/>
      <c r="G18" s="37"/>
      <c r="H18" s="46"/>
    </row>
    <row r="19" spans="1:8">
      <c r="A19" s="37"/>
      <c r="B19" s="37"/>
      <c r="C19" s="37"/>
      <c r="D19" s="37"/>
      <c r="E19" s="37"/>
      <c r="F19" s="37" t="s">
        <v>163</v>
      </c>
      <c r="G19" s="37"/>
      <c r="H19" s="46">
        <v>11173.91</v>
      </c>
    </row>
    <row r="20" spans="1:8" ht="13.5" thickBot="1">
      <c r="A20" s="37"/>
      <c r="B20" s="37"/>
      <c r="C20" s="37"/>
      <c r="D20" s="37"/>
      <c r="E20" s="37"/>
      <c r="F20" s="37" t="s">
        <v>164</v>
      </c>
      <c r="G20" s="37"/>
      <c r="H20" s="47">
        <v>71071.75</v>
      </c>
    </row>
    <row r="21" spans="1:8">
      <c r="A21" s="37"/>
      <c r="B21" s="37"/>
      <c r="C21" s="37"/>
      <c r="D21" s="37"/>
      <c r="E21" s="37" t="s">
        <v>165</v>
      </c>
      <c r="F21" s="37"/>
      <c r="G21" s="37"/>
      <c r="H21" s="46">
        <f>ROUND(SUM(H18:H20),5)</f>
        <v>82245.66</v>
      </c>
    </row>
    <row r="22" spans="1:8" ht="26.45" customHeight="1">
      <c r="A22" s="37"/>
      <c r="B22" s="37"/>
      <c r="C22" s="37"/>
      <c r="D22" s="37"/>
      <c r="E22" s="37" t="s">
        <v>166</v>
      </c>
      <c r="F22" s="37"/>
      <c r="G22" s="37"/>
      <c r="H22" s="46"/>
    </row>
    <row r="23" spans="1:8">
      <c r="A23" s="37"/>
      <c r="B23" s="37"/>
      <c r="C23" s="37"/>
      <c r="D23" s="37"/>
      <c r="E23" s="37"/>
      <c r="F23" s="37" t="s">
        <v>167</v>
      </c>
      <c r="G23" s="37"/>
      <c r="H23" s="46">
        <v>-26710.02</v>
      </c>
    </row>
    <row r="24" spans="1:8">
      <c r="A24" s="37"/>
      <c r="B24" s="37"/>
      <c r="C24" s="37"/>
      <c r="D24" s="37"/>
      <c r="E24" s="37"/>
      <c r="F24" s="37" t="s">
        <v>168</v>
      </c>
      <c r="G24" s="37"/>
      <c r="H24" s="46">
        <v>-67447.8</v>
      </c>
    </row>
    <row r="25" spans="1:8">
      <c r="A25" s="37"/>
      <c r="B25" s="37"/>
      <c r="C25" s="37"/>
      <c r="D25" s="37"/>
      <c r="E25" s="37"/>
      <c r="F25" s="37" t="s">
        <v>169</v>
      </c>
      <c r="G25" s="37"/>
      <c r="H25" s="46">
        <v>-21850</v>
      </c>
    </row>
    <row r="26" spans="1:8">
      <c r="A26" s="37"/>
      <c r="B26" s="37"/>
      <c r="C26" s="37"/>
      <c r="D26" s="37"/>
      <c r="E26" s="37"/>
      <c r="F26" s="37" t="s">
        <v>170</v>
      </c>
      <c r="G26" s="37"/>
      <c r="H26" s="46">
        <v>-13960</v>
      </c>
    </row>
    <row r="27" spans="1:8">
      <c r="A27" s="37"/>
      <c r="B27" s="37"/>
      <c r="C27" s="37"/>
      <c r="D27" s="37"/>
      <c r="E27" s="37"/>
      <c r="F27" s="37" t="s">
        <v>171</v>
      </c>
      <c r="G27" s="37"/>
      <c r="H27" s="46">
        <v>-3470</v>
      </c>
    </row>
    <row r="28" spans="1:8" ht="13.5" thickBot="1">
      <c r="A28" s="37"/>
      <c r="B28" s="37"/>
      <c r="C28" s="37"/>
      <c r="D28" s="37"/>
      <c r="E28" s="37"/>
      <c r="F28" s="37" t="s">
        <v>172</v>
      </c>
      <c r="G28" s="37"/>
      <c r="H28" s="47">
        <v>-1100.5</v>
      </c>
    </row>
    <row r="29" spans="1:8" ht="13.5" thickBot="1">
      <c r="A29" s="37"/>
      <c r="B29" s="37"/>
      <c r="C29" s="37"/>
      <c r="D29" s="37"/>
      <c r="E29" s="37" t="s">
        <v>173</v>
      </c>
      <c r="F29" s="37"/>
      <c r="G29" s="37"/>
      <c r="H29" s="48">
        <f>ROUND(SUM(H22:H28),5)</f>
        <v>-134538.32</v>
      </c>
    </row>
    <row r="30" spans="1:8" ht="26.45" customHeight="1">
      <c r="A30" s="37"/>
      <c r="B30" s="37"/>
      <c r="C30" s="37"/>
      <c r="D30" s="37" t="s">
        <v>174</v>
      </c>
      <c r="E30" s="37"/>
      <c r="F30" s="37"/>
      <c r="G30" s="37"/>
      <c r="H30" s="46">
        <f>ROUND(H3+H10+SUM(H14:H17)+H21+H29,5)</f>
        <v>2370257.4300000002</v>
      </c>
    </row>
    <row r="31" spans="1:8" ht="26.45" customHeight="1">
      <c r="A31" s="37"/>
      <c r="B31" s="37"/>
      <c r="C31" s="37"/>
      <c r="D31" s="37" t="s">
        <v>175</v>
      </c>
      <c r="E31" s="37"/>
      <c r="F31" s="37"/>
      <c r="G31" s="37"/>
      <c r="H31" s="46"/>
    </row>
    <row r="32" spans="1:8">
      <c r="A32" s="37"/>
      <c r="B32" s="37"/>
      <c r="C32" s="37"/>
      <c r="D32" s="37"/>
      <c r="E32" s="37" t="s">
        <v>347</v>
      </c>
      <c r="F32" s="37"/>
      <c r="G32" s="37"/>
      <c r="H32" s="46">
        <v>850.78</v>
      </c>
    </row>
    <row r="33" spans="1:8">
      <c r="A33" s="37"/>
      <c r="B33" s="37"/>
      <c r="C33" s="37"/>
      <c r="D33" s="37"/>
      <c r="E33" s="37" t="s">
        <v>176</v>
      </c>
      <c r="F33" s="37"/>
      <c r="G33" s="37"/>
      <c r="H33" s="46">
        <v>802048.45</v>
      </c>
    </row>
    <row r="34" spans="1:8">
      <c r="A34" s="37"/>
      <c r="B34" s="37"/>
      <c r="C34" s="37"/>
      <c r="D34" s="37"/>
      <c r="E34" s="37" t="s">
        <v>177</v>
      </c>
      <c r="F34" s="37"/>
      <c r="G34" s="37"/>
      <c r="H34" s="46">
        <v>298553.75</v>
      </c>
    </row>
    <row r="35" spans="1:8" ht="13.5" thickBot="1">
      <c r="A35" s="37"/>
      <c r="B35" s="37"/>
      <c r="C35" s="37"/>
      <c r="D35" s="37"/>
      <c r="E35" s="37" t="s">
        <v>178</v>
      </c>
      <c r="F35" s="37"/>
      <c r="G35" s="37"/>
      <c r="H35" s="47">
        <v>10927.7</v>
      </c>
    </row>
    <row r="36" spans="1:8" ht="13.5" thickBot="1">
      <c r="A36" s="37"/>
      <c r="B36" s="37"/>
      <c r="C36" s="37"/>
      <c r="D36" s="37" t="s">
        <v>179</v>
      </c>
      <c r="E36" s="37"/>
      <c r="F36" s="37"/>
      <c r="G36" s="37"/>
      <c r="H36" s="48">
        <f>ROUND(SUM(H31:H35),5)</f>
        <v>1112380.68</v>
      </c>
    </row>
    <row r="37" spans="1:8" ht="26.45" customHeight="1">
      <c r="A37" s="37"/>
      <c r="B37" s="37"/>
      <c r="C37" s="37" t="s">
        <v>180</v>
      </c>
      <c r="D37" s="37"/>
      <c r="E37" s="37"/>
      <c r="F37" s="37"/>
      <c r="G37" s="37"/>
      <c r="H37" s="46">
        <f>ROUND(H30-H36,5)</f>
        <v>1257876.75</v>
      </c>
    </row>
    <row r="38" spans="1:8" ht="26.45" customHeight="1">
      <c r="A38" s="37"/>
      <c r="B38" s="37"/>
      <c r="C38" s="37"/>
      <c r="D38" s="37" t="s">
        <v>181</v>
      </c>
      <c r="E38" s="37"/>
      <c r="F38" s="37"/>
      <c r="G38" s="37"/>
      <c r="H38" s="46"/>
    </row>
    <row r="39" spans="1:8">
      <c r="A39" s="37"/>
      <c r="B39" s="37"/>
      <c r="C39" s="37"/>
      <c r="D39" s="37"/>
      <c r="E39" s="37" t="s">
        <v>348</v>
      </c>
      <c r="F39" s="37"/>
      <c r="G39" s="37"/>
      <c r="H39" s="46">
        <v>993.96</v>
      </c>
    </row>
    <row r="40" spans="1:8">
      <c r="A40" s="37"/>
      <c r="B40" s="37"/>
      <c r="C40" s="37"/>
      <c r="D40" s="37"/>
      <c r="E40" s="37" t="s">
        <v>349</v>
      </c>
      <c r="F40" s="37"/>
      <c r="G40" s="37"/>
      <c r="H40" s="46">
        <v>108.64</v>
      </c>
    </row>
    <row r="41" spans="1:8">
      <c r="A41" s="37"/>
      <c r="B41" s="37"/>
      <c r="C41" s="37"/>
      <c r="D41" s="37"/>
      <c r="E41" s="37" t="s">
        <v>350</v>
      </c>
      <c r="F41" s="37"/>
      <c r="G41" s="37"/>
      <c r="H41" s="46">
        <v>10434.299999999999</v>
      </c>
    </row>
    <row r="42" spans="1:8">
      <c r="A42" s="37"/>
      <c r="B42" s="37"/>
      <c r="C42" s="37"/>
      <c r="D42" s="37"/>
      <c r="E42" s="37" t="s">
        <v>184</v>
      </c>
      <c r="F42" s="37"/>
      <c r="G42" s="37"/>
      <c r="H42" s="46"/>
    </row>
    <row r="43" spans="1:8">
      <c r="A43" s="37"/>
      <c r="B43" s="37"/>
      <c r="C43" s="37"/>
      <c r="D43" s="37"/>
      <c r="E43" s="37"/>
      <c r="F43" s="37" t="s">
        <v>351</v>
      </c>
      <c r="G43" s="37"/>
      <c r="H43" s="46">
        <v>1563.39</v>
      </c>
    </row>
    <row r="44" spans="1:8">
      <c r="A44" s="37"/>
      <c r="B44" s="37"/>
      <c r="C44" s="37"/>
      <c r="D44" s="37"/>
      <c r="E44" s="37"/>
      <c r="F44" s="37" t="s">
        <v>352</v>
      </c>
      <c r="G44" s="37"/>
      <c r="H44" s="46">
        <v>0</v>
      </c>
    </row>
    <row r="45" spans="1:8" ht="13.5" thickBot="1">
      <c r="A45" s="37"/>
      <c r="B45" s="37"/>
      <c r="C45" s="37"/>
      <c r="D45" s="37"/>
      <c r="E45" s="37"/>
      <c r="F45" s="37" t="s">
        <v>186</v>
      </c>
      <c r="G45" s="37"/>
      <c r="H45" s="47">
        <v>802.26</v>
      </c>
    </row>
    <row r="46" spans="1:8">
      <c r="A46" s="37"/>
      <c r="B46" s="37"/>
      <c r="C46" s="37"/>
      <c r="D46" s="37"/>
      <c r="E46" s="37" t="s">
        <v>187</v>
      </c>
      <c r="F46" s="37"/>
      <c r="G46" s="37"/>
      <c r="H46" s="46">
        <f>ROUND(SUM(H42:H45),5)</f>
        <v>2365.65</v>
      </c>
    </row>
    <row r="47" spans="1:8" ht="26.45" customHeight="1">
      <c r="A47" s="37"/>
      <c r="B47" s="37"/>
      <c r="C47" s="37"/>
      <c r="D47" s="37"/>
      <c r="E47" s="37" t="s">
        <v>353</v>
      </c>
      <c r="F47" s="37"/>
      <c r="G47" s="37"/>
      <c r="H47" s="46">
        <v>10304.950000000001</v>
      </c>
    </row>
    <row r="48" spans="1:8">
      <c r="A48" s="37"/>
      <c r="B48" s="37"/>
      <c r="C48" s="37"/>
      <c r="D48" s="37"/>
      <c r="E48" s="37" t="s">
        <v>188</v>
      </c>
      <c r="F48" s="37"/>
      <c r="G48" s="37"/>
      <c r="H48" s="46"/>
    </row>
    <row r="49" spans="1:8">
      <c r="A49" s="37"/>
      <c r="B49" s="37"/>
      <c r="C49" s="37"/>
      <c r="D49" s="37"/>
      <c r="E49" s="37"/>
      <c r="F49" s="37" t="s">
        <v>354</v>
      </c>
      <c r="G49" s="37"/>
      <c r="H49" s="46">
        <v>9928.99</v>
      </c>
    </row>
    <row r="50" spans="1:8">
      <c r="A50" s="37"/>
      <c r="B50" s="37"/>
      <c r="C50" s="37"/>
      <c r="D50" s="37"/>
      <c r="E50" s="37"/>
      <c r="F50" s="37" t="s">
        <v>190</v>
      </c>
      <c r="G50" s="37"/>
      <c r="H50" s="46">
        <v>88.2</v>
      </c>
    </row>
    <row r="51" spans="1:8">
      <c r="A51" s="37"/>
      <c r="B51" s="37"/>
      <c r="C51" s="37"/>
      <c r="D51" s="37"/>
      <c r="E51" s="37"/>
      <c r="F51" s="37" t="s">
        <v>191</v>
      </c>
      <c r="G51" s="37"/>
      <c r="H51" s="46">
        <v>625.86</v>
      </c>
    </row>
    <row r="52" spans="1:8" ht="13.5" thickBot="1">
      <c r="A52" s="37"/>
      <c r="B52" s="37"/>
      <c r="C52" s="37"/>
      <c r="D52" s="37"/>
      <c r="E52" s="37"/>
      <c r="F52" s="37" t="s">
        <v>192</v>
      </c>
      <c r="G52" s="37"/>
      <c r="H52" s="47">
        <v>115832.93</v>
      </c>
    </row>
    <row r="53" spans="1:8">
      <c r="A53" s="37"/>
      <c r="B53" s="37"/>
      <c r="C53" s="37"/>
      <c r="D53" s="37"/>
      <c r="E53" s="37" t="s">
        <v>194</v>
      </c>
      <c r="F53" s="37"/>
      <c r="G53" s="37"/>
      <c r="H53" s="46">
        <f>ROUND(SUM(H48:H52),5)</f>
        <v>126475.98</v>
      </c>
    </row>
    <row r="54" spans="1:8" ht="26.45" customHeight="1">
      <c r="A54" s="37"/>
      <c r="B54" s="37"/>
      <c r="C54" s="37"/>
      <c r="D54" s="37"/>
      <c r="E54" s="37" t="s">
        <v>195</v>
      </c>
      <c r="F54" s="37"/>
      <c r="G54" s="37"/>
      <c r="H54" s="46">
        <v>37580.14</v>
      </c>
    </row>
    <row r="55" spans="1:8">
      <c r="A55" s="37"/>
      <c r="B55" s="37"/>
      <c r="C55" s="37"/>
      <c r="D55" s="37"/>
      <c r="E55" s="37" t="s">
        <v>355</v>
      </c>
      <c r="F55" s="37"/>
      <c r="G55" s="37"/>
      <c r="H55" s="46">
        <v>1664.78</v>
      </c>
    </row>
    <row r="56" spans="1:8">
      <c r="A56" s="37"/>
      <c r="B56" s="37"/>
      <c r="C56" s="37"/>
      <c r="D56" s="37"/>
      <c r="E56" s="37" t="s">
        <v>196</v>
      </c>
      <c r="F56" s="37"/>
      <c r="G56" s="37"/>
      <c r="H56" s="46">
        <v>1650</v>
      </c>
    </row>
    <row r="57" spans="1:8">
      <c r="A57" s="37"/>
      <c r="B57" s="37"/>
      <c r="C57" s="37"/>
      <c r="D57" s="37"/>
      <c r="E57" s="37" t="s">
        <v>197</v>
      </c>
      <c r="F57" s="37"/>
      <c r="G57" s="37"/>
      <c r="H57" s="46">
        <v>5048.99</v>
      </c>
    </row>
    <row r="58" spans="1:8">
      <c r="A58" s="37"/>
      <c r="B58" s="37"/>
      <c r="C58" s="37"/>
      <c r="D58" s="37"/>
      <c r="E58" s="37" t="s">
        <v>356</v>
      </c>
      <c r="F58" s="37"/>
      <c r="G58" s="37"/>
      <c r="H58" s="46">
        <v>1398.68</v>
      </c>
    </row>
    <row r="59" spans="1:8">
      <c r="A59" s="37"/>
      <c r="B59" s="37"/>
      <c r="C59" s="37"/>
      <c r="D59" s="37"/>
      <c r="E59" s="37" t="s">
        <v>357</v>
      </c>
      <c r="F59" s="37"/>
      <c r="G59" s="37"/>
      <c r="H59" s="46">
        <v>821.35</v>
      </c>
    </row>
    <row r="60" spans="1:8">
      <c r="A60" s="37"/>
      <c r="B60" s="37"/>
      <c r="C60" s="37"/>
      <c r="D60" s="37"/>
      <c r="E60" s="37" t="s">
        <v>198</v>
      </c>
      <c r="F60" s="37"/>
      <c r="G60" s="37"/>
      <c r="H60" s="46">
        <v>345.95</v>
      </c>
    </row>
    <row r="61" spans="1:8">
      <c r="A61" s="37"/>
      <c r="B61" s="37"/>
      <c r="C61" s="37"/>
      <c r="D61" s="37"/>
      <c r="E61" s="37" t="s">
        <v>199</v>
      </c>
      <c r="F61" s="37"/>
      <c r="G61" s="37"/>
      <c r="H61" s="46"/>
    </row>
    <row r="62" spans="1:8">
      <c r="A62" s="37"/>
      <c r="B62" s="37"/>
      <c r="C62" s="37"/>
      <c r="D62" s="37"/>
      <c r="E62" s="37"/>
      <c r="F62" s="37" t="s">
        <v>200</v>
      </c>
      <c r="G62" s="37"/>
      <c r="H62" s="46">
        <v>183</v>
      </c>
    </row>
    <row r="63" spans="1:8">
      <c r="A63" s="37"/>
      <c r="B63" s="37"/>
      <c r="C63" s="37"/>
      <c r="D63" s="37"/>
      <c r="E63" s="37"/>
      <c r="F63" s="37" t="s">
        <v>201</v>
      </c>
      <c r="G63" s="37"/>
      <c r="H63" s="46">
        <v>27083.759999999998</v>
      </c>
    </row>
    <row r="64" spans="1:8">
      <c r="A64" s="37"/>
      <c r="B64" s="37"/>
      <c r="C64" s="37"/>
      <c r="D64" s="37"/>
      <c r="E64" s="37"/>
      <c r="F64" s="37" t="s">
        <v>202</v>
      </c>
      <c r="G64" s="37"/>
      <c r="H64" s="46">
        <v>1379.4</v>
      </c>
    </row>
    <row r="65" spans="1:8">
      <c r="A65" s="37"/>
      <c r="B65" s="37"/>
      <c r="C65" s="37"/>
      <c r="D65" s="37"/>
      <c r="E65" s="37"/>
      <c r="F65" s="37" t="s">
        <v>358</v>
      </c>
      <c r="G65" s="37"/>
      <c r="H65" s="46">
        <v>959</v>
      </c>
    </row>
    <row r="66" spans="1:8">
      <c r="A66" s="37"/>
      <c r="B66" s="37"/>
      <c r="C66" s="37"/>
      <c r="D66" s="37"/>
      <c r="E66" s="37"/>
      <c r="F66" s="37" t="s">
        <v>359</v>
      </c>
      <c r="G66" s="37"/>
      <c r="H66" s="46">
        <v>200</v>
      </c>
    </row>
    <row r="67" spans="1:8">
      <c r="A67" s="37"/>
      <c r="B67" s="37"/>
      <c r="C67" s="37"/>
      <c r="D67" s="37"/>
      <c r="E67" s="37"/>
      <c r="F67" s="37" t="s">
        <v>360</v>
      </c>
      <c r="G67" s="37"/>
      <c r="H67" s="46">
        <v>825</v>
      </c>
    </row>
    <row r="68" spans="1:8" ht="13.5" thickBot="1">
      <c r="A68" s="37"/>
      <c r="B68" s="37"/>
      <c r="C68" s="37"/>
      <c r="D68" s="37"/>
      <c r="E68" s="37"/>
      <c r="F68" s="37" t="s">
        <v>203</v>
      </c>
      <c r="G68" s="37"/>
      <c r="H68" s="47">
        <v>3969.84</v>
      </c>
    </row>
    <row r="69" spans="1:8">
      <c r="A69" s="37"/>
      <c r="B69" s="37"/>
      <c r="C69" s="37"/>
      <c r="D69" s="37"/>
      <c r="E69" s="37" t="s">
        <v>204</v>
      </c>
      <c r="F69" s="37"/>
      <c r="G69" s="37"/>
      <c r="H69" s="46">
        <f>ROUND(SUM(H61:H68),5)</f>
        <v>34600</v>
      </c>
    </row>
    <row r="70" spans="1:8" ht="26.45" customHeight="1">
      <c r="A70" s="37"/>
      <c r="B70" s="37"/>
      <c r="C70" s="37"/>
      <c r="D70" s="37"/>
      <c r="E70" s="37" t="s">
        <v>205</v>
      </c>
      <c r="F70" s="37"/>
      <c r="G70" s="37"/>
      <c r="H70" s="46">
        <v>7024.23</v>
      </c>
    </row>
    <row r="71" spans="1:8">
      <c r="A71" s="37"/>
      <c r="B71" s="37"/>
      <c r="C71" s="37"/>
      <c r="D71" s="37"/>
      <c r="E71" s="37" t="s">
        <v>361</v>
      </c>
      <c r="F71" s="37"/>
      <c r="G71" s="37"/>
      <c r="H71" s="46">
        <v>970.86</v>
      </c>
    </row>
    <row r="72" spans="1:8">
      <c r="A72" s="37"/>
      <c r="B72" s="37"/>
      <c r="C72" s="37"/>
      <c r="D72" s="37"/>
      <c r="E72" s="37" t="s">
        <v>206</v>
      </c>
      <c r="F72" s="37"/>
      <c r="G72" s="37"/>
      <c r="H72" s="46"/>
    </row>
    <row r="73" spans="1:8">
      <c r="A73" s="37"/>
      <c r="B73" s="37"/>
      <c r="C73" s="37"/>
      <c r="D73" s="37"/>
      <c r="E73" s="37"/>
      <c r="F73" s="37" t="s">
        <v>207</v>
      </c>
      <c r="G73" s="37"/>
      <c r="H73" s="46">
        <v>5873</v>
      </c>
    </row>
    <row r="74" spans="1:8">
      <c r="A74" s="37"/>
      <c r="B74" s="37"/>
      <c r="C74" s="37"/>
      <c r="D74" s="37"/>
      <c r="E74" s="37"/>
      <c r="F74" s="37" t="s">
        <v>208</v>
      </c>
      <c r="G74" s="37"/>
      <c r="H74" s="46">
        <v>62882.32</v>
      </c>
    </row>
    <row r="75" spans="1:8">
      <c r="A75" s="37"/>
      <c r="B75" s="37"/>
      <c r="C75" s="37"/>
      <c r="D75" s="37"/>
      <c r="E75" s="37"/>
      <c r="F75" s="37" t="s">
        <v>209</v>
      </c>
      <c r="G75" s="37"/>
      <c r="H75" s="46">
        <v>5046.6499999999996</v>
      </c>
    </row>
    <row r="76" spans="1:8">
      <c r="A76" s="37"/>
      <c r="B76" s="37"/>
      <c r="C76" s="37"/>
      <c r="D76" s="37"/>
      <c r="E76" s="37"/>
      <c r="F76" s="37" t="s">
        <v>210</v>
      </c>
      <c r="G76" s="37"/>
      <c r="H76" s="46">
        <v>18006.04</v>
      </c>
    </row>
    <row r="77" spans="1:8">
      <c r="A77" s="37"/>
      <c r="B77" s="37"/>
      <c r="C77" s="37"/>
      <c r="D77" s="37"/>
      <c r="E77" s="37"/>
      <c r="F77" s="37" t="s">
        <v>211</v>
      </c>
      <c r="G77" s="37"/>
      <c r="H77" s="46"/>
    </row>
    <row r="78" spans="1:8">
      <c r="A78" s="37"/>
      <c r="B78" s="37"/>
      <c r="C78" s="37"/>
      <c r="D78" s="37"/>
      <c r="E78" s="37"/>
      <c r="F78" s="37"/>
      <c r="G78" s="37" t="s">
        <v>362</v>
      </c>
      <c r="H78" s="46">
        <v>450</v>
      </c>
    </row>
    <row r="79" spans="1:8">
      <c r="A79" s="37"/>
      <c r="B79" s="37"/>
      <c r="C79" s="37"/>
      <c r="D79" s="37"/>
      <c r="E79" s="37"/>
      <c r="F79" s="37"/>
      <c r="G79" s="37" t="s">
        <v>212</v>
      </c>
      <c r="H79" s="46">
        <v>248.22</v>
      </c>
    </row>
    <row r="80" spans="1:8">
      <c r="A80" s="37"/>
      <c r="B80" s="37"/>
      <c r="C80" s="37"/>
      <c r="D80" s="37"/>
      <c r="E80" s="37"/>
      <c r="F80" s="37"/>
      <c r="G80" s="37" t="s">
        <v>213</v>
      </c>
      <c r="H80" s="46">
        <v>3850</v>
      </c>
    </row>
    <row r="81" spans="1:8" ht="13.5" thickBot="1">
      <c r="A81" s="37"/>
      <c r="B81" s="37"/>
      <c r="C81" s="37"/>
      <c r="D81" s="37"/>
      <c r="E81" s="37"/>
      <c r="F81" s="37"/>
      <c r="G81" s="37" t="s">
        <v>363</v>
      </c>
      <c r="H81" s="47">
        <v>3128.51</v>
      </c>
    </row>
    <row r="82" spans="1:8">
      <c r="A82" s="37"/>
      <c r="B82" s="37"/>
      <c r="C82" s="37"/>
      <c r="D82" s="37"/>
      <c r="E82" s="37"/>
      <c r="F82" s="37" t="s">
        <v>214</v>
      </c>
      <c r="G82" s="37"/>
      <c r="H82" s="46">
        <f>ROUND(SUM(H77:H81),5)</f>
        <v>7676.73</v>
      </c>
    </row>
    <row r="83" spans="1:8" ht="26.45" customHeight="1">
      <c r="A83" s="37"/>
      <c r="B83" s="37"/>
      <c r="C83" s="37"/>
      <c r="D83" s="37"/>
      <c r="E83" s="37"/>
      <c r="F83" s="37" t="s">
        <v>364</v>
      </c>
      <c r="G83" s="37"/>
      <c r="H83" s="46">
        <v>166.63</v>
      </c>
    </row>
    <row r="84" spans="1:8">
      <c r="A84" s="37"/>
      <c r="B84" s="37"/>
      <c r="C84" s="37"/>
      <c r="D84" s="37"/>
      <c r="E84" s="37"/>
      <c r="F84" s="37" t="s">
        <v>216</v>
      </c>
      <c r="G84" s="37"/>
      <c r="H84" s="46">
        <v>1476.41</v>
      </c>
    </row>
    <row r="85" spans="1:8">
      <c r="A85" s="37"/>
      <c r="B85" s="37"/>
      <c r="C85" s="37"/>
      <c r="D85" s="37"/>
      <c r="E85" s="37"/>
      <c r="F85" s="37" t="s">
        <v>365</v>
      </c>
      <c r="G85" s="37"/>
      <c r="H85" s="46">
        <v>4956.0600000000004</v>
      </c>
    </row>
    <row r="86" spans="1:8">
      <c r="A86" s="37"/>
      <c r="B86" s="37"/>
      <c r="C86" s="37"/>
      <c r="D86" s="37"/>
      <c r="E86" s="37"/>
      <c r="F86" s="37" t="s">
        <v>217</v>
      </c>
      <c r="G86" s="37"/>
      <c r="H86" s="46">
        <v>9490</v>
      </c>
    </row>
    <row r="87" spans="1:8" ht="13.5" thickBot="1">
      <c r="A87" s="37"/>
      <c r="B87" s="37"/>
      <c r="C87" s="37"/>
      <c r="D87" s="37"/>
      <c r="E87" s="37"/>
      <c r="F87" s="37" t="s">
        <v>366</v>
      </c>
      <c r="G87" s="37"/>
      <c r="H87" s="47">
        <v>5101.99</v>
      </c>
    </row>
    <row r="88" spans="1:8">
      <c r="A88" s="37"/>
      <c r="B88" s="37"/>
      <c r="C88" s="37"/>
      <c r="D88" s="37"/>
      <c r="E88" s="37" t="s">
        <v>218</v>
      </c>
      <c r="F88" s="37"/>
      <c r="G88" s="37"/>
      <c r="H88" s="46">
        <f>ROUND(SUM(H72:H76)+SUM(H82:H87),5)</f>
        <v>120675.83</v>
      </c>
    </row>
    <row r="89" spans="1:8" ht="26.45" customHeight="1">
      <c r="A89" s="37"/>
      <c r="B89" s="37"/>
      <c r="C89" s="37"/>
      <c r="D89" s="37"/>
      <c r="E89" s="37" t="s">
        <v>219</v>
      </c>
      <c r="F89" s="37"/>
      <c r="G89" s="37"/>
      <c r="H89" s="46"/>
    </row>
    <row r="90" spans="1:8">
      <c r="A90" s="37"/>
      <c r="B90" s="37"/>
      <c r="C90" s="37"/>
      <c r="D90" s="37"/>
      <c r="E90" s="37"/>
      <c r="F90" s="37" t="s">
        <v>220</v>
      </c>
      <c r="G90" s="37"/>
      <c r="H90" s="46">
        <v>12644.54</v>
      </c>
    </row>
    <row r="91" spans="1:8">
      <c r="A91" s="37"/>
      <c r="B91" s="37"/>
      <c r="C91" s="37"/>
      <c r="D91" s="37"/>
      <c r="E91" s="37"/>
      <c r="F91" s="37" t="s">
        <v>221</v>
      </c>
      <c r="G91" s="37"/>
      <c r="H91" s="46">
        <v>8843.17</v>
      </c>
    </row>
    <row r="92" spans="1:8">
      <c r="A92" s="37"/>
      <c r="B92" s="37"/>
      <c r="C92" s="37"/>
      <c r="D92" s="37"/>
      <c r="E92" s="37"/>
      <c r="F92" s="37" t="s">
        <v>222</v>
      </c>
      <c r="G92" s="37"/>
      <c r="H92" s="46">
        <v>3723.69</v>
      </c>
    </row>
    <row r="93" spans="1:8">
      <c r="A93" s="37"/>
      <c r="B93" s="37"/>
      <c r="C93" s="37"/>
      <c r="D93" s="37"/>
      <c r="E93" s="37"/>
      <c r="F93" s="37" t="s">
        <v>223</v>
      </c>
      <c r="G93" s="37"/>
      <c r="H93" s="46">
        <v>98</v>
      </c>
    </row>
    <row r="94" spans="1:8">
      <c r="A94" s="37"/>
      <c r="B94" s="37"/>
      <c r="C94" s="37"/>
      <c r="D94" s="37"/>
      <c r="E94" s="37"/>
      <c r="F94" s="37" t="s">
        <v>224</v>
      </c>
      <c r="G94" s="37"/>
      <c r="H94" s="46">
        <v>5916.97</v>
      </c>
    </row>
    <row r="95" spans="1:8">
      <c r="A95" s="37"/>
      <c r="B95" s="37"/>
      <c r="C95" s="37"/>
      <c r="D95" s="37"/>
      <c r="E95" s="37"/>
      <c r="F95" s="37" t="s">
        <v>367</v>
      </c>
      <c r="G95" s="37"/>
      <c r="H95" s="46">
        <v>148.22999999999999</v>
      </c>
    </row>
    <row r="96" spans="1:8">
      <c r="A96" s="37"/>
      <c r="B96" s="37"/>
      <c r="C96" s="37"/>
      <c r="D96" s="37"/>
      <c r="E96" s="37"/>
      <c r="F96" s="37" t="s">
        <v>225</v>
      </c>
      <c r="G96" s="37"/>
      <c r="H96" s="46">
        <v>662.27</v>
      </c>
    </row>
    <row r="97" spans="1:8" ht="13.5" thickBot="1">
      <c r="A97" s="37"/>
      <c r="B97" s="37"/>
      <c r="C97" s="37"/>
      <c r="D97" s="37"/>
      <c r="E97" s="37"/>
      <c r="F97" s="37" t="s">
        <v>368</v>
      </c>
      <c r="G97" s="37"/>
      <c r="H97" s="47">
        <v>1051.26</v>
      </c>
    </row>
    <row r="98" spans="1:8">
      <c r="A98" s="37"/>
      <c r="B98" s="37"/>
      <c r="C98" s="37"/>
      <c r="D98" s="37"/>
      <c r="E98" s="37" t="s">
        <v>226</v>
      </c>
      <c r="F98" s="37"/>
      <c r="G98" s="37"/>
      <c r="H98" s="46">
        <f>ROUND(SUM(H89:H97),5)</f>
        <v>33088.129999999997</v>
      </c>
    </row>
    <row r="99" spans="1:8" ht="26.45" customHeight="1">
      <c r="A99" s="37"/>
      <c r="B99" s="37"/>
      <c r="C99" s="37"/>
      <c r="D99" s="37"/>
      <c r="E99" s="37" t="s">
        <v>227</v>
      </c>
      <c r="F99" s="37"/>
      <c r="G99" s="37"/>
      <c r="H99" s="46">
        <v>5.39</v>
      </c>
    </row>
    <row r="100" spans="1:8">
      <c r="A100" s="37"/>
      <c r="B100" s="37"/>
      <c r="C100" s="37"/>
      <c r="D100" s="37"/>
      <c r="E100" s="37" t="s">
        <v>228</v>
      </c>
      <c r="F100" s="37"/>
      <c r="G100" s="37"/>
      <c r="H100" s="46"/>
    </row>
    <row r="101" spans="1:8">
      <c r="A101" s="37"/>
      <c r="B101" s="37"/>
      <c r="C101" s="37"/>
      <c r="D101" s="37"/>
      <c r="E101" s="37"/>
      <c r="F101" s="37" t="s">
        <v>369</v>
      </c>
      <c r="G101" s="37"/>
      <c r="H101" s="46">
        <v>1014</v>
      </c>
    </row>
    <row r="102" spans="1:8">
      <c r="A102" s="37"/>
      <c r="B102" s="37"/>
      <c r="C102" s="37"/>
      <c r="D102" s="37"/>
      <c r="E102" s="37"/>
      <c r="F102" s="37" t="s">
        <v>229</v>
      </c>
      <c r="G102" s="37"/>
      <c r="H102" s="46">
        <v>11109.3</v>
      </c>
    </row>
    <row r="103" spans="1:8">
      <c r="A103" s="37"/>
      <c r="B103" s="37"/>
      <c r="C103" s="37"/>
      <c r="D103" s="37"/>
      <c r="E103" s="37"/>
      <c r="F103" s="37" t="s">
        <v>230</v>
      </c>
      <c r="G103" s="37"/>
      <c r="H103" s="46">
        <v>4540.6499999999996</v>
      </c>
    </row>
    <row r="104" spans="1:8">
      <c r="A104" s="37"/>
      <c r="B104" s="37"/>
      <c r="C104" s="37"/>
      <c r="D104" s="37"/>
      <c r="E104" s="37"/>
      <c r="F104" s="37" t="s">
        <v>231</v>
      </c>
      <c r="G104" s="37"/>
      <c r="H104" s="46">
        <v>2192.94</v>
      </c>
    </row>
    <row r="105" spans="1:8">
      <c r="A105" s="37"/>
      <c r="B105" s="37"/>
      <c r="C105" s="37"/>
      <c r="D105" s="37"/>
      <c r="E105" s="37"/>
      <c r="F105" s="37" t="s">
        <v>232</v>
      </c>
      <c r="G105" s="37"/>
      <c r="H105" s="46">
        <v>283.61</v>
      </c>
    </row>
    <row r="106" spans="1:8">
      <c r="A106" s="37"/>
      <c r="B106" s="37"/>
      <c r="C106" s="37"/>
      <c r="D106" s="37"/>
      <c r="E106" s="37"/>
      <c r="F106" s="37" t="s">
        <v>233</v>
      </c>
      <c r="G106" s="37"/>
      <c r="H106" s="46">
        <v>1439.18</v>
      </c>
    </row>
    <row r="107" spans="1:8" ht="13.5" thickBot="1">
      <c r="A107" s="37"/>
      <c r="B107" s="37"/>
      <c r="C107" s="37"/>
      <c r="D107" s="37"/>
      <c r="E107" s="37"/>
      <c r="F107" s="37" t="s">
        <v>234</v>
      </c>
      <c r="G107" s="37"/>
      <c r="H107" s="47">
        <v>2381.3200000000002</v>
      </c>
    </row>
    <row r="108" spans="1:8">
      <c r="A108" s="37"/>
      <c r="B108" s="37"/>
      <c r="C108" s="37"/>
      <c r="D108" s="37"/>
      <c r="E108" s="37" t="s">
        <v>235</v>
      </c>
      <c r="F108" s="37"/>
      <c r="G108" s="37"/>
      <c r="H108" s="46">
        <f>ROUND(SUM(H100:H107),5)</f>
        <v>22961</v>
      </c>
    </row>
    <row r="109" spans="1:8" ht="26.45" customHeight="1">
      <c r="A109" s="37"/>
      <c r="B109" s="37"/>
      <c r="C109" s="37"/>
      <c r="D109" s="37"/>
      <c r="E109" s="37" t="s">
        <v>236</v>
      </c>
      <c r="F109" s="37"/>
      <c r="G109" s="37"/>
      <c r="H109" s="46"/>
    </row>
    <row r="110" spans="1:8">
      <c r="A110" s="37"/>
      <c r="B110" s="37"/>
      <c r="C110" s="37"/>
      <c r="D110" s="37"/>
      <c r="E110" s="37"/>
      <c r="F110" s="37" t="s">
        <v>237</v>
      </c>
      <c r="G110" s="37"/>
      <c r="H110" s="46">
        <v>5243.09</v>
      </c>
    </row>
    <row r="111" spans="1:8">
      <c r="A111" s="37"/>
      <c r="B111" s="37"/>
      <c r="C111" s="37"/>
      <c r="D111" s="37"/>
      <c r="E111" s="37"/>
      <c r="F111" s="37" t="s">
        <v>238</v>
      </c>
      <c r="G111" s="37"/>
      <c r="H111" s="46"/>
    </row>
    <row r="112" spans="1:8">
      <c r="A112" s="37"/>
      <c r="B112" s="37"/>
      <c r="C112" s="37"/>
      <c r="D112" s="37"/>
      <c r="E112" s="37"/>
      <c r="F112" s="37"/>
      <c r="G112" s="37" t="s">
        <v>239</v>
      </c>
      <c r="H112" s="46">
        <v>53999.92</v>
      </c>
    </row>
    <row r="113" spans="1:8">
      <c r="A113" s="37"/>
      <c r="B113" s="37"/>
      <c r="C113" s="37"/>
      <c r="D113" s="37"/>
      <c r="E113" s="37"/>
      <c r="F113" s="37"/>
      <c r="G113" s="37" t="s">
        <v>240</v>
      </c>
      <c r="H113" s="46">
        <v>25076.89</v>
      </c>
    </row>
    <row r="114" spans="1:8">
      <c r="A114" s="37"/>
      <c r="B114" s="37"/>
      <c r="C114" s="37"/>
      <c r="D114" s="37"/>
      <c r="E114" s="37"/>
      <c r="F114" s="37"/>
      <c r="G114" s="37" t="s">
        <v>370</v>
      </c>
      <c r="H114" s="46">
        <v>9846.17</v>
      </c>
    </row>
    <row r="115" spans="1:8" ht="13.5" thickBot="1">
      <c r="A115" s="37"/>
      <c r="B115" s="37"/>
      <c r="C115" s="37"/>
      <c r="D115" s="37"/>
      <c r="E115" s="37"/>
      <c r="F115" s="37"/>
      <c r="G115" s="37" t="s">
        <v>241</v>
      </c>
      <c r="H115" s="47">
        <v>66672.03</v>
      </c>
    </row>
    <row r="116" spans="1:8">
      <c r="A116" s="37"/>
      <c r="B116" s="37"/>
      <c r="C116" s="37"/>
      <c r="D116" s="37"/>
      <c r="E116" s="37"/>
      <c r="F116" s="37" t="s">
        <v>242</v>
      </c>
      <c r="G116" s="37"/>
      <c r="H116" s="46">
        <f>ROUND(SUM(H111:H115),5)</f>
        <v>155595.01</v>
      </c>
    </row>
    <row r="117" spans="1:8" ht="26.45" customHeight="1">
      <c r="A117" s="37"/>
      <c r="B117" s="37"/>
      <c r="C117" s="37"/>
      <c r="D117" s="37"/>
      <c r="E117" s="37"/>
      <c r="F117" s="37" t="s">
        <v>244</v>
      </c>
      <c r="G117" s="37"/>
      <c r="H117" s="46"/>
    </row>
    <row r="118" spans="1:8">
      <c r="A118" s="37"/>
      <c r="B118" s="37"/>
      <c r="C118" s="37"/>
      <c r="D118" s="37"/>
      <c r="E118" s="37"/>
      <c r="F118" s="37"/>
      <c r="G118" s="37" t="s">
        <v>245</v>
      </c>
      <c r="H118" s="46">
        <v>-5855.43</v>
      </c>
    </row>
    <row r="119" spans="1:8" ht="13.5" thickBot="1">
      <c r="A119" s="37"/>
      <c r="B119" s="37"/>
      <c r="C119" s="37"/>
      <c r="D119" s="37"/>
      <c r="E119" s="37"/>
      <c r="F119" s="37"/>
      <c r="G119" s="37" t="s">
        <v>246</v>
      </c>
      <c r="H119" s="47">
        <v>26211.58</v>
      </c>
    </row>
    <row r="120" spans="1:8">
      <c r="A120" s="37"/>
      <c r="B120" s="37"/>
      <c r="C120" s="37"/>
      <c r="D120" s="37"/>
      <c r="E120" s="37"/>
      <c r="F120" s="37" t="s">
        <v>247</v>
      </c>
      <c r="G120" s="37"/>
      <c r="H120" s="46">
        <f>ROUND(SUM(H117:H119),5)</f>
        <v>20356.150000000001</v>
      </c>
    </row>
    <row r="121" spans="1:8" ht="26.45" customHeight="1">
      <c r="A121" s="37"/>
      <c r="B121" s="37"/>
      <c r="C121" s="37"/>
      <c r="D121" s="37"/>
      <c r="E121" s="37"/>
      <c r="F121" s="37" t="s">
        <v>371</v>
      </c>
      <c r="G121" s="37"/>
      <c r="H121" s="46">
        <v>587.04</v>
      </c>
    </row>
    <row r="122" spans="1:8">
      <c r="A122" s="37"/>
      <c r="B122" s="37"/>
      <c r="C122" s="37"/>
      <c r="D122" s="37"/>
      <c r="E122" s="37"/>
      <c r="F122" s="37" t="s">
        <v>372</v>
      </c>
      <c r="G122" s="37"/>
      <c r="H122" s="46">
        <v>1053.44</v>
      </c>
    </row>
    <row r="123" spans="1:8">
      <c r="A123" s="37"/>
      <c r="B123" s="37"/>
      <c r="C123" s="37"/>
      <c r="D123" s="37"/>
      <c r="E123" s="37"/>
      <c r="F123" s="37" t="s">
        <v>248</v>
      </c>
      <c r="G123" s="37"/>
      <c r="H123" s="46">
        <v>299359.19</v>
      </c>
    </row>
    <row r="124" spans="1:8">
      <c r="A124" s="37"/>
      <c r="B124" s="37"/>
      <c r="C124" s="37"/>
      <c r="D124" s="37"/>
      <c r="E124" s="37"/>
      <c r="F124" s="37" t="s">
        <v>249</v>
      </c>
      <c r="G124" s="37"/>
      <c r="H124" s="46">
        <v>5699.3</v>
      </c>
    </row>
    <row r="125" spans="1:8">
      <c r="A125" s="37"/>
      <c r="B125" s="37"/>
      <c r="C125" s="37"/>
      <c r="D125" s="37"/>
      <c r="E125" s="37"/>
      <c r="F125" s="37" t="s">
        <v>373</v>
      </c>
      <c r="G125" s="37"/>
      <c r="H125" s="46">
        <v>305.76</v>
      </c>
    </row>
    <row r="126" spans="1:8">
      <c r="A126" s="37"/>
      <c r="B126" s="37"/>
      <c r="C126" s="37"/>
      <c r="D126" s="37"/>
      <c r="E126" s="37"/>
      <c r="F126" s="37" t="s">
        <v>250</v>
      </c>
      <c r="G126" s="37"/>
      <c r="H126" s="46"/>
    </row>
    <row r="127" spans="1:8">
      <c r="A127" s="37"/>
      <c r="B127" s="37"/>
      <c r="C127" s="37"/>
      <c r="D127" s="37"/>
      <c r="E127" s="37"/>
      <c r="F127" s="37"/>
      <c r="G127" s="37" t="s">
        <v>251</v>
      </c>
      <c r="H127" s="46">
        <v>-15683.54</v>
      </c>
    </row>
    <row r="128" spans="1:8" ht="13.5" thickBot="1">
      <c r="A128" s="37"/>
      <c r="B128" s="37"/>
      <c r="C128" s="37"/>
      <c r="D128" s="37"/>
      <c r="E128" s="37"/>
      <c r="F128" s="37"/>
      <c r="G128" s="37" t="s">
        <v>252</v>
      </c>
      <c r="H128" s="47">
        <v>46031.8</v>
      </c>
    </row>
    <row r="129" spans="1:8">
      <c r="A129" s="37"/>
      <c r="B129" s="37"/>
      <c r="C129" s="37"/>
      <c r="D129" s="37"/>
      <c r="E129" s="37"/>
      <c r="F129" s="37" t="s">
        <v>253</v>
      </c>
      <c r="G129" s="37"/>
      <c r="H129" s="46">
        <f>ROUND(SUM(H126:H128),5)</f>
        <v>30348.26</v>
      </c>
    </row>
    <row r="130" spans="1:8" ht="26.45" customHeight="1">
      <c r="A130" s="37"/>
      <c r="B130" s="37"/>
      <c r="C130" s="37"/>
      <c r="D130" s="37"/>
      <c r="E130" s="37"/>
      <c r="F130" s="37" t="s">
        <v>374</v>
      </c>
      <c r="G130" s="37"/>
      <c r="H130" s="46">
        <v>1846.15</v>
      </c>
    </row>
    <row r="131" spans="1:8" ht="13.5" thickBot="1">
      <c r="A131" s="37"/>
      <c r="B131" s="37"/>
      <c r="C131" s="37"/>
      <c r="D131" s="37"/>
      <c r="E131" s="37"/>
      <c r="F131" s="37" t="s">
        <v>254</v>
      </c>
      <c r="G131" s="37"/>
      <c r="H131" s="47">
        <v>27.81</v>
      </c>
    </row>
    <row r="132" spans="1:8">
      <c r="A132" s="37"/>
      <c r="B132" s="37"/>
      <c r="C132" s="37"/>
      <c r="D132" s="37"/>
      <c r="E132" s="37" t="s">
        <v>255</v>
      </c>
      <c r="F132" s="37"/>
      <c r="G132" s="37"/>
      <c r="H132" s="46">
        <f>ROUND(SUM(H109:H110)+H116+SUM(H120:H125)+SUM(H129:H131),5)</f>
        <v>520421.2</v>
      </c>
    </row>
    <row r="133" spans="1:8" ht="26.45" customHeight="1">
      <c r="A133" s="37"/>
      <c r="B133" s="37"/>
      <c r="C133" s="37"/>
      <c r="D133" s="37"/>
      <c r="E133" s="37" t="s">
        <v>375</v>
      </c>
      <c r="F133" s="37"/>
      <c r="G133" s="37"/>
      <c r="H133" s="46">
        <v>-155595.01</v>
      </c>
    </row>
    <row r="134" spans="1:8">
      <c r="A134" s="37"/>
      <c r="B134" s="37"/>
      <c r="C134" s="37"/>
      <c r="D134" s="37"/>
      <c r="E134" s="37" t="s">
        <v>256</v>
      </c>
      <c r="F134" s="37"/>
      <c r="G134" s="37"/>
      <c r="H134" s="46">
        <v>56507.9</v>
      </c>
    </row>
    <row r="135" spans="1:8">
      <c r="A135" s="37"/>
      <c r="B135" s="37"/>
      <c r="C135" s="37"/>
      <c r="D135" s="37"/>
      <c r="E135" s="37" t="s">
        <v>257</v>
      </c>
      <c r="F135" s="37"/>
      <c r="G135" s="37"/>
      <c r="H135" s="46">
        <v>-56507.9</v>
      </c>
    </row>
    <row r="136" spans="1:8">
      <c r="A136" s="37"/>
      <c r="B136" s="37"/>
      <c r="C136" s="37"/>
      <c r="D136" s="37"/>
      <c r="E136" s="37" t="s">
        <v>260</v>
      </c>
      <c r="F136" s="37"/>
      <c r="G136" s="37"/>
      <c r="H136" s="46"/>
    </row>
    <row r="137" spans="1:8">
      <c r="A137" s="37"/>
      <c r="B137" s="37"/>
      <c r="C137" s="37"/>
      <c r="D137" s="37"/>
      <c r="E137" s="37"/>
      <c r="F137" s="37" t="s">
        <v>376</v>
      </c>
      <c r="G137" s="37"/>
      <c r="H137" s="46">
        <v>38945.75</v>
      </c>
    </row>
    <row r="138" spans="1:8">
      <c r="A138" s="37"/>
      <c r="B138" s="37"/>
      <c r="C138" s="37"/>
      <c r="D138" s="37"/>
      <c r="E138" s="37"/>
      <c r="F138" s="37" t="s">
        <v>261</v>
      </c>
      <c r="G138" s="37"/>
      <c r="H138" s="46">
        <v>54966.3</v>
      </c>
    </row>
    <row r="139" spans="1:8">
      <c r="A139" s="37"/>
      <c r="B139" s="37"/>
      <c r="C139" s="37"/>
      <c r="D139" s="37"/>
      <c r="E139" s="37"/>
      <c r="F139" s="37" t="s">
        <v>262</v>
      </c>
      <c r="G139" s="37"/>
      <c r="H139" s="46">
        <v>1504.3</v>
      </c>
    </row>
    <row r="140" spans="1:8" ht="13.5" thickBot="1">
      <c r="A140" s="37"/>
      <c r="B140" s="37"/>
      <c r="C140" s="37"/>
      <c r="D140" s="37"/>
      <c r="E140" s="37"/>
      <c r="F140" s="37" t="s">
        <v>377</v>
      </c>
      <c r="G140" s="37"/>
      <c r="H140" s="47">
        <v>23151.5</v>
      </c>
    </row>
    <row r="141" spans="1:8">
      <c r="A141" s="37"/>
      <c r="B141" s="37"/>
      <c r="C141" s="37"/>
      <c r="D141" s="37"/>
      <c r="E141" s="37" t="s">
        <v>263</v>
      </c>
      <c r="F141" s="37"/>
      <c r="G141" s="37"/>
      <c r="H141" s="46">
        <f>ROUND(SUM(H136:H140),5)</f>
        <v>118567.85</v>
      </c>
    </row>
    <row r="142" spans="1:8" ht="26.45" customHeight="1">
      <c r="A142" s="37"/>
      <c r="B142" s="37"/>
      <c r="C142" s="37"/>
      <c r="D142" s="37"/>
      <c r="E142" s="37" t="s">
        <v>378</v>
      </c>
      <c r="F142" s="37"/>
      <c r="G142" s="37"/>
      <c r="H142" s="46">
        <v>0</v>
      </c>
    </row>
    <row r="143" spans="1:8">
      <c r="A143" s="37"/>
      <c r="B143" s="37"/>
      <c r="C143" s="37"/>
      <c r="D143" s="37"/>
      <c r="E143" s="37" t="s">
        <v>264</v>
      </c>
      <c r="F143" s="37"/>
      <c r="G143" s="37"/>
      <c r="H143" s="46"/>
    </row>
    <row r="144" spans="1:8">
      <c r="A144" s="37"/>
      <c r="B144" s="37"/>
      <c r="C144" s="37"/>
      <c r="D144" s="37"/>
      <c r="E144" s="37"/>
      <c r="F144" s="37" t="s">
        <v>265</v>
      </c>
      <c r="G144" s="37"/>
      <c r="H144" s="46">
        <v>26979.46</v>
      </c>
    </row>
    <row r="145" spans="1:8">
      <c r="A145" s="37"/>
      <c r="B145" s="37"/>
      <c r="C145" s="37"/>
      <c r="D145" s="37"/>
      <c r="E145" s="37"/>
      <c r="F145" s="37" t="s">
        <v>266</v>
      </c>
      <c r="G145" s="37"/>
      <c r="H145" s="46">
        <v>74244.25</v>
      </c>
    </row>
    <row r="146" spans="1:8" ht="13.5" thickBot="1">
      <c r="A146" s="37"/>
      <c r="B146" s="37"/>
      <c r="C146" s="37"/>
      <c r="D146" s="37"/>
      <c r="E146" s="37"/>
      <c r="F146" s="37" t="s">
        <v>267</v>
      </c>
      <c r="G146" s="37"/>
      <c r="H146" s="47">
        <v>27000</v>
      </c>
    </row>
    <row r="147" spans="1:8">
      <c r="A147" s="37"/>
      <c r="B147" s="37"/>
      <c r="C147" s="37"/>
      <c r="D147" s="37"/>
      <c r="E147" s="37" t="s">
        <v>268</v>
      </c>
      <c r="F147" s="37"/>
      <c r="G147" s="37"/>
      <c r="H147" s="46">
        <f>ROUND(SUM(H143:H146),5)</f>
        <v>128223.71</v>
      </c>
    </row>
    <row r="148" spans="1:8" ht="26.45" customHeight="1">
      <c r="A148" s="37"/>
      <c r="B148" s="37"/>
      <c r="C148" s="37"/>
      <c r="D148" s="37"/>
      <c r="E148" s="37" t="s">
        <v>269</v>
      </c>
      <c r="F148" s="37"/>
      <c r="G148" s="37"/>
      <c r="H148" s="46">
        <v>-26979.46</v>
      </c>
    </row>
    <row r="149" spans="1:8">
      <c r="A149" s="37"/>
      <c r="B149" s="37"/>
      <c r="C149" s="37"/>
      <c r="D149" s="37"/>
      <c r="E149" s="37" t="s">
        <v>270</v>
      </c>
      <c r="F149" s="37"/>
      <c r="G149" s="37"/>
      <c r="H149" s="46"/>
    </row>
    <row r="150" spans="1:8">
      <c r="A150" s="37"/>
      <c r="B150" s="37"/>
      <c r="C150" s="37"/>
      <c r="D150" s="37"/>
      <c r="E150" s="37"/>
      <c r="F150" s="37" t="s">
        <v>271</v>
      </c>
      <c r="G150" s="37"/>
      <c r="H150" s="46">
        <v>1487</v>
      </c>
    </row>
    <row r="151" spans="1:8">
      <c r="A151" s="37"/>
      <c r="B151" s="37"/>
      <c r="C151" s="37"/>
      <c r="D151" s="37"/>
      <c r="E151" s="37"/>
      <c r="F151" s="37" t="s">
        <v>272</v>
      </c>
      <c r="G151" s="37"/>
      <c r="H151" s="46">
        <v>15240.19</v>
      </c>
    </row>
    <row r="152" spans="1:8" ht="13.5" thickBot="1">
      <c r="A152" s="37"/>
      <c r="B152" s="37"/>
      <c r="C152" s="37"/>
      <c r="D152" s="37"/>
      <c r="E152" s="37"/>
      <c r="F152" s="37" t="s">
        <v>379</v>
      </c>
      <c r="G152" s="37"/>
      <c r="H152" s="47">
        <v>581.70000000000005</v>
      </c>
    </row>
    <row r="153" spans="1:8">
      <c r="A153" s="37"/>
      <c r="B153" s="37"/>
      <c r="C153" s="37"/>
      <c r="D153" s="37"/>
      <c r="E153" s="37" t="s">
        <v>273</v>
      </c>
      <c r="F153" s="37"/>
      <c r="G153" s="37"/>
      <c r="H153" s="46">
        <f>ROUND(SUM(H149:H152),5)</f>
        <v>17308.89</v>
      </c>
    </row>
    <row r="154" spans="1:8" ht="26.45" customHeight="1">
      <c r="A154" s="37"/>
      <c r="B154" s="37"/>
      <c r="C154" s="37"/>
      <c r="D154" s="37"/>
      <c r="E154" s="37" t="s">
        <v>274</v>
      </c>
      <c r="F154" s="37"/>
      <c r="G154" s="37"/>
      <c r="H154" s="46">
        <v>1163.7</v>
      </c>
    </row>
    <row r="155" spans="1:8">
      <c r="A155" s="37"/>
      <c r="B155" s="37"/>
      <c r="C155" s="37"/>
      <c r="D155" s="37"/>
      <c r="E155" s="37" t="s">
        <v>380</v>
      </c>
      <c r="F155" s="37"/>
      <c r="G155" s="37"/>
      <c r="H155" s="46">
        <v>200</v>
      </c>
    </row>
    <row r="156" spans="1:8">
      <c r="A156" s="37"/>
      <c r="B156" s="37"/>
      <c r="C156" s="37"/>
      <c r="D156" s="37"/>
      <c r="E156" s="37" t="s">
        <v>275</v>
      </c>
      <c r="F156" s="37"/>
      <c r="G156" s="37"/>
      <c r="H156" s="46"/>
    </row>
    <row r="157" spans="1:8">
      <c r="A157" s="37"/>
      <c r="B157" s="37"/>
      <c r="C157" s="37"/>
      <c r="D157" s="37"/>
      <c r="E157" s="37"/>
      <c r="F157" s="37" t="s">
        <v>276</v>
      </c>
      <c r="G157" s="37"/>
      <c r="H157" s="46">
        <v>12435.66</v>
      </c>
    </row>
    <row r="158" spans="1:8">
      <c r="A158" s="37"/>
      <c r="B158" s="37"/>
      <c r="C158" s="37"/>
      <c r="D158" s="37"/>
      <c r="E158" s="37"/>
      <c r="F158" s="37" t="s">
        <v>277</v>
      </c>
      <c r="G158" s="37"/>
      <c r="H158" s="46">
        <v>10476.969999999999</v>
      </c>
    </row>
    <row r="159" spans="1:8" ht="13.5" thickBot="1">
      <c r="A159" s="37"/>
      <c r="B159" s="37"/>
      <c r="C159" s="37"/>
      <c r="D159" s="37"/>
      <c r="E159" s="37"/>
      <c r="F159" s="37" t="s">
        <v>278</v>
      </c>
      <c r="G159" s="37"/>
      <c r="H159" s="47">
        <v>1550</v>
      </c>
    </row>
    <row r="160" spans="1:8">
      <c r="A160" s="37"/>
      <c r="B160" s="37"/>
      <c r="C160" s="37"/>
      <c r="D160" s="37"/>
      <c r="E160" s="37" t="s">
        <v>279</v>
      </c>
      <c r="F160" s="37"/>
      <c r="G160" s="37"/>
      <c r="H160" s="46">
        <f>ROUND(SUM(H156:H159),5)</f>
        <v>24462.63</v>
      </c>
    </row>
    <row r="161" spans="1:8" ht="26.45" customHeight="1">
      <c r="A161" s="37"/>
      <c r="B161" s="37"/>
      <c r="C161" s="37"/>
      <c r="D161" s="37"/>
      <c r="E161" s="37" t="s">
        <v>280</v>
      </c>
      <c r="F161" s="37"/>
      <c r="G161" s="37"/>
      <c r="H161" s="46"/>
    </row>
    <row r="162" spans="1:8">
      <c r="A162" s="37"/>
      <c r="B162" s="37"/>
      <c r="C162" s="37"/>
      <c r="D162" s="37"/>
      <c r="E162" s="37"/>
      <c r="F162" s="37" t="s">
        <v>281</v>
      </c>
      <c r="G162" s="37"/>
      <c r="H162" s="46">
        <v>5920</v>
      </c>
    </row>
    <row r="163" spans="1:8">
      <c r="A163" s="37"/>
      <c r="B163" s="37"/>
      <c r="C163" s="37"/>
      <c r="D163" s="37"/>
      <c r="E163" s="37"/>
      <c r="F163" s="37" t="s">
        <v>282</v>
      </c>
      <c r="G163" s="37"/>
      <c r="H163" s="46">
        <v>7379.26</v>
      </c>
    </row>
    <row r="164" spans="1:8">
      <c r="A164" s="37"/>
      <c r="B164" s="37"/>
      <c r="C164" s="37"/>
      <c r="D164" s="37"/>
      <c r="E164" s="37"/>
      <c r="F164" s="37" t="s">
        <v>283</v>
      </c>
      <c r="G164" s="37"/>
      <c r="H164" s="46">
        <v>419.37</v>
      </c>
    </row>
    <row r="165" spans="1:8" ht="13.5" thickBot="1">
      <c r="A165" s="37"/>
      <c r="B165" s="37"/>
      <c r="C165" s="37"/>
      <c r="D165" s="37"/>
      <c r="E165" s="37"/>
      <c r="F165" s="37" t="s">
        <v>284</v>
      </c>
      <c r="G165" s="37"/>
      <c r="H165" s="47">
        <v>651.94000000000005</v>
      </c>
    </row>
    <row r="166" spans="1:8">
      <c r="A166" s="37"/>
      <c r="B166" s="37"/>
      <c r="C166" s="37"/>
      <c r="D166" s="37"/>
      <c r="E166" s="37" t="s">
        <v>285</v>
      </c>
      <c r="F166" s="37"/>
      <c r="G166" s="37"/>
      <c r="H166" s="46">
        <f>ROUND(SUM(H161:H165),5)</f>
        <v>14370.57</v>
      </c>
    </row>
    <row r="167" spans="1:8" ht="26.45" customHeight="1">
      <c r="A167" s="37"/>
      <c r="B167" s="37"/>
      <c r="C167" s="37"/>
      <c r="D167" s="37"/>
      <c r="E167" s="37" t="s">
        <v>286</v>
      </c>
      <c r="F167" s="37"/>
      <c r="G167" s="37"/>
      <c r="H167" s="46"/>
    </row>
    <row r="168" spans="1:8">
      <c r="A168" s="37"/>
      <c r="B168" s="37"/>
      <c r="C168" s="37"/>
      <c r="D168" s="37"/>
      <c r="E168" s="37"/>
      <c r="F168" s="37" t="s">
        <v>287</v>
      </c>
      <c r="G168" s="37"/>
      <c r="H168" s="46">
        <v>12742.32</v>
      </c>
    </row>
    <row r="169" spans="1:8">
      <c r="A169" s="37"/>
      <c r="B169" s="37"/>
      <c r="C169" s="37"/>
      <c r="D169" s="37"/>
      <c r="E169" s="37"/>
      <c r="F169" s="37" t="s">
        <v>288</v>
      </c>
      <c r="G169" s="37"/>
      <c r="H169" s="46">
        <v>13249.74</v>
      </c>
    </row>
    <row r="170" spans="1:8">
      <c r="A170" s="37"/>
      <c r="B170" s="37"/>
      <c r="C170" s="37"/>
      <c r="D170" s="37"/>
      <c r="E170" s="37"/>
      <c r="F170" s="37" t="s">
        <v>381</v>
      </c>
      <c r="G170" s="37"/>
      <c r="H170" s="46">
        <v>7214.88</v>
      </c>
    </row>
    <row r="171" spans="1:8" ht="13.5" thickBot="1">
      <c r="A171" s="37"/>
      <c r="B171" s="37"/>
      <c r="C171" s="37"/>
      <c r="D171" s="37"/>
      <c r="E171" s="37"/>
      <c r="F171" s="37" t="s">
        <v>382</v>
      </c>
      <c r="G171" s="37"/>
      <c r="H171" s="47">
        <v>3273.29</v>
      </c>
    </row>
    <row r="172" spans="1:8">
      <c r="A172" s="37"/>
      <c r="B172" s="37"/>
      <c r="C172" s="37"/>
      <c r="D172" s="37"/>
      <c r="E172" s="37" t="s">
        <v>289</v>
      </c>
      <c r="F172" s="37"/>
      <c r="G172" s="37"/>
      <c r="H172" s="46">
        <f>ROUND(SUM(H167:H171),5)</f>
        <v>36480.230000000003</v>
      </c>
    </row>
    <row r="173" spans="1:8" ht="26.45" customHeight="1">
      <c r="A173" s="37"/>
      <c r="B173" s="37"/>
      <c r="C173" s="37"/>
      <c r="D173" s="37"/>
      <c r="E173" s="37" t="s">
        <v>290</v>
      </c>
      <c r="F173" s="37"/>
      <c r="G173" s="37"/>
      <c r="H173" s="46">
        <v>5511.69</v>
      </c>
    </row>
    <row r="174" spans="1:8">
      <c r="A174" s="37"/>
      <c r="B174" s="37"/>
      <c r="C174" s="37"/>
      <c r="D174" s="37"/>
      <c r="E174" s="37" t="s">
        <v>291</v>
      </c>
      <c r="F174" s="37"/>
      <c r="G174" s="37"/>
      <c r="H174" s="46"/>
    </row>
    <row r="175" spans="1:8">
      <c r="A175" s="37"/>
      <c r="B175" s="37"/>
      <c r="C175" s="37"/>
      <c r="D175" s="37"/>
      <c r="E175" s="37"/>
      <c r="F175" s="37" t="s">
        <v>383</v>
      </c>
      <c r="G175" s="37"/>
      <c r="H175" s="46">
        <v>111.6</v>
      </c>
    </row>
    <row r="176" spans="1:8">
      <c r="A176" s="37"/>
      <c r="B176" s="37"/>
      <c r="C176" s="37"/>
      <c r="D176" s="37"/>
      <c r="E176" s="37"/>
      <c r="F176" s="37" t="s">
        <v>292</v>
      </c>
      <c r="G176" s="37"/>
      <c r="H176" s="46">
        <v>28.62</v>
      </c>
    </row>
    <row r="177" spans="1:8">
      <c r="A177" s="37"/>
      <c r="B177" s="37"/>
      <c r="C177" s="37"/>
      <c r="D177" s="37"/>
      <c r="E177" s="37"/>
      <c r="F177" s="37" t="s">
        <v>384</v>
      </c>
      <c r="G177" s="37"/>
      <c r="H177" s="46">
        <v>23.22</v>
      </c>
    </row>
    <row r="178" spans="1:8">
      <c r="A178" s="37"/>
      <c r="B178" s="37"/>
      <c r="C178" s="37"/>
      <c r="D178" s="37"/>
      <c r="E178" s="37"/>
      <c r="F178" s="37" t="s">
        <v>385</v>
      </c>
      <c r="G178" s="37"/>
      <c r="H178" s="46">
        <v>1455.3</v>
      </c>
    </row>
    <row r="179" spans="1:8">
      <c r="A179" s="37"/>
      <c r="B179" s="37"/>
      <c r="C179" s="37"/>
      <c r="D179" s="37"/>
      <c r="E179" s="37"/>
      <c r="F179" s="37" t="s">
        <v>293</v>
      </c>
      <c r="G179" s="37"/>
      <c r="H179" s="46">
        <v>4350.41</v>
      </c>
    </row>
    <row r="180" spans="1:8" ht="13.5" thickBot="1">
      <c r="A180" s="37"/>
      <c r="B180" s="37"/>
      <c r="C180" s="37"/>
      <c r="D180" s="37"/>
      <c r="E180" s="37"/>
      <c r="F180" s="37" t="s">
        <v>294</v>
      </c>
      <c r="G180" s="37"/>
      <c r="H180" s="47">
        <v>706.08</v>
      </c>
    </row>
    <row r="181" spans="1:8">
      <c r="A181" s="37"/>
      <c r="B181" s="37"/>
      <c r="C181" s="37"/>
      <c r="D181" s="37"/>
      <c r="E181" s="37" t="s">
        <v>295</v>
      </c>
      <c r="F181" s="37"/>
      <c r="G181" s="37"/>
      <c r="H181" s="46">
        <f>ROUND(SUM(H174:H180),5)</f>
        <v>6675.23</v>
      </c>
    </row>
    <row r="182" spans="1:8" ht="26.45" customHeight="1">
      <c r="A182" s="37"/>
      <c r="B182" s="37"/>
      <c r="C182" s="37"/>
      <c r="D182" s="37"/>
      <c r="E182" s="37" t="s">
        <v>296</v>
      </c>
      <c r="F182" s="37"/>
      <c r="G182" s="37"/>
      <c r="H182" s="46">
        <v>-6675.23</v>
      </c>
    </row>
    <row r="183" spans="1:8">
      <c r="A183" s="37"/>
      <c r="B183" s="37"/>
      <c r="C183" s="37"/>
      <c r="D183" s="37"/>
      <c r="E183" s="37" t="s">
        <v>297</v>
      </c>
      <c r="F183" s="37"/>
      <c r="G183" s="37"/>
      <c r="H183" s="46"/>
    </row>
    <row r="184" spans="1:8">
      <c r="A184" s="37"/>
      <c r="B184" s="37"/>
      <c r="C184" s="37"/>
      <c r="D184" s="37"/>
      <c r="E184" s="37"/>
      <c r="F184" s="37" t="s">
        <v>298</v>
      </c>
      <c r="G184" s="37"/>
      <c r="H184" s="46">
        <v>1429.85</v>
      </c>
    </row>
    <row r="185" spans="1:8">
      <c r="A185" s="37"/>
      <c r="B185" s="37"/>
      <c r="C185" s="37"/>
      <c r="D185" s="37"/>
      <c r="E185" s="37"/>
      <c r="F185" s="37" t="s">
        <v>299</v>
      </c>
      <c r="G185" s="37"/>
      <c r="H185" s="46">
        <v>11461.56</v>
      </c>
    </row>
    <row r="186" spans="1:8">
      <c r="A186" s="37"/>
      <c r="B186" s="37"/>
      <c r="C186" s="37"/>
      <c r="D186" s="37"/>
      <c r="E186" s="37"/>
      <c r="F186" s="37" t="s">
        <v>386</v>
      </c>
      <c r="G186" s="37"/>
      <c r="H186" s="46">
        <v>17003.25</v>
      </c>
    </row>
    <row r="187" spans="1:8">
      <c r="A187" s="37"/>
      <c r="B187" s="37"/>
      <c r="C187" s="37"/>
      <c r="D187" s="37"/>
      <c r="E187" s="37"/>
      <c r="F187" s="37" t="s">
        <v>300</v>
      </c>
      <c r="G187" s="37"/>
      <c r="H187" s="46">
        <v>9882.7000000000007</v>
      </c>
    </row>
    <row r="188" spans="1:8">
      <c r="A188" s="37"/>
      <c r="B188" s="37"/>
      <c r="C188" s="37"/>
      <c r="D188" s="37"/>
      <c r="E188" s="37"/>
      <c r="F188" s="37" t="s">
        <v>387</v>
      </c>
      <c r="G188" s="37"/>
      <c r="H188" s="46">
        <v>605502.85</v>
      </c>
    </row>
    <row r="189" spans="1:8">
      <c r="A189" s="37"/>
      <c r="B189" s="37"/>
      <c r="C189" s="37"/>
      <c r="D189" s="37"/>
      <c r="E189" s="37"/>
      <c r="F189" s="37" t="s">
        <v>388</v>
      </c>
      <c r="G189" s="37"/>
      <c r="H189" s="46">
        <v>15.44</v>
      </c>
    </row>
    <row r="190" spans="1:8">
      <c r="A190" s="37"/>
      <c r="B190" s="37"/>
      <c r="C190" s="37"/>
      <c r="D190" s="37"/>
      <c r="E190" s="37"/>
      <c r="F190" s="37" t="s">
        <v>301</v>
      </c>
      <c r="G190" s="37"/>
      <c r="H190" s="46">
        <v>6757.35</v>
      </c>
    </row>
    <row r="191" spans="1:8">
      <c r="A191" s="37"/>
      <c r="B191" s="37"/>
      <c r="C191" s="37"/>
      <c r="D191" s="37"/>
      <c r="E191" s="37"/>
      <c r="F191" s="37" t="s">
        <v>302</v>
      </c>
      <c r="G191" s="37"/>
      <c r="H191" s="46">
        <v>21918.63</v>
      </c>
    </row>
    <row r="192" spans="1:8">
      <c r="A192" s="37"/>
      <c r="B192" s="37"/>
      <c r="C192" s="37"/>
      <c r="D192" s="37"/>
      <c r="E192" s="37"/>
      <c r="F192" s="37" t="s">
        <v>389</v>
      </c>
      <c r="G192" s="37"/>
      <c r="H192" s="46">
        <v>4412.6000000000004</v>
      </c>
    </row>
    <row r="193" spans="1:8">
      <c r="A193" s="37"/>
      <c r="B193" s="37"/>
      <c r="C193" s="37"/>
      <c r="D193" s="37"/>
      <c r="E193" s="37"/>
      <c r="F193" s="37" t="s">
        <v>390</v>
      </c>
      <c r="G193" s="37"/>
      <c r="H193" s="46">
        <v>2637.09</v>
      </c>
    </row>
    <row r="194" spans="1:8" ht="13.5" thickBot="1">
      <c r="A194" s="37"/>
      <c r="B194" s="37"/>
      <c r="C194" s="37"/>
      <c r="D194" s="37"/>
      <c r="E194" s="37"/>
      <c r="F194" s="37" t="s">
        <v>391</v>
      </c>
      <c r="G194" s="37"/>
      <c r="H194" s="47">
        <v>4725</v>
      </c>
    </row>
    <row r="195" spans="1:8">
      <c r="A195" s="37"/>
      <c r="B195" s="37"/>
      <c r="C195" s="37"/>
      <c r="D195" s="37"/>
      <c r="E195" s="37" t="s">
        <v>303</v>
      </c>
      <c r="F195" s="37"/>
      <c r="G195" s="37"/>
      <c r="H195" s="46">
        <f>ROUND(SUM(H183:H194),5)</f>
        <v>685746.32</v>
      </c>
    </row>
    <row r="196" spans="1:8" ht="26.45" customHeight="1">
      <c r="A196" s="37"/>
      <c r="B196" s="37"/>
      <c r="C196" s="37"/>
      <c r="D196" s="37"/>
      <c r="E196" s="37" t="s">
        <v>304</v>
      </c>
      <c r="F196" s="37"/>
      <c r="G196" s="37"/>
      <c r="H196" s="46">
        <v>-685746.32</v>
      </c>
    </row>
    <row r="197" spans="1:8">
      <c r="A197" s="37"/>
      <c r="B197" s="37"/>
      <c r="C197" s="37"/>
      <c r="D197" s="37"/>
      <c r="E197" s="37" t="s">
        <v>305</v>
      </c>
      <c r="F197" s="37"/>
      <c r="G197" s="37"/>
      <c r="H197" s="46"/>
    </row>
    <row r="198" spans="1:8">
      <c r="A198" s="37"/>
      <c r="B198" s="37"/>
      <c r="C198" s="37"/>
      <c r="D198" s="37"/>
      <c r="E198" s="37"/>
      <c r="F198" s="37" t="s">
        <v>392</v>
      </c>
      <c r="G198" s="37"/>
      <c r="H198" s="46">
        <v>79.5</v>
      </c>
    </row>
    <row r="199" spans="1:8">
      <c r="A199" s="37"/>
      <c r="B199" s="37"/>
      <c r="C199" s="37"/>
      <c r="D199" s="37"/>
      <c r="E199" s="37"/>
      <c r="F199" s="37" t="s">
        <v>306</v>
      </c>
      <c r="G199" s="37"/>
      <c r="H199" s="46"/>
    </row>
    <row r="200" spans="1:8">
      <c r="A200" s="37"/>
      <c r="B200" s="37"/>
      <c r="C200" s="37"/>
      <c r="D200" s="37"/>
      <c r="E200" s="37"/>
      <c r="F200" s="37"/>
      <c r="G200" s="37" t="s">
        <v>307</v>
      </c>
      <c r="H200" s="46">
        <v>29346.799999999999</v>
      </c>
    </row>
    <row r="201" spans="1:8">
      <c r="A201" s="37"/>
      <c r="B201" s="37"/>
      <c r="C201" s="37"/>
      <c r="D201" s="37"/>
      <c r="E201" s="37"/>
      <c r="F201" s="37"/>
      <c r="G201" s="37" t="s">
        <v>393</v>
      </c>
      <c r="H201" s="46">
        <v>540.70000000000005</v>
      </c>
    </row>
    <row r="202" spans="1:8">
      <c r="A202" s="37"/>
      <c r="B202" s="37"/>
      <c r="C202" s="37"/>
      <c r="D202" s="37"/>
      <c r="E202" s="37"/>
      <c r="F202" s="37"/>
      <c r="G202" s="37" t="s">
        <v>308</v>
      </c>
      <c r="H202" s="46">
        <v>54653.77</v>
      </c>
    </row>
    <row r="203" spans="1:8">
      <c r="A203" s="37"/>
      <c r="B203" s="37"/>
      <c r="C203" s="37"/>
      <c r="D203" s="37"/>
      <c r="E203" s="37"/>
      <c r="F203" s="37"/>
      <c r="G203" s="37" t="s">
        <v>309</v>
      </c>
      <c r="H203" s="46">
        <v>169267.41</v>
      </c>
    </row>
    <row r="204" spans="1:8">
      <c r="A204" s="37"/>
      <c r="B204" s="37"/>
      <c r="C204" s="37"/>
      <c r="D204" s="37"/>
      <c r="E204" s="37"/>
      <c r="F204" s="37"/>
      <c r="G204" s="37" t="s">
        <v>310</v>
      </c>
      <c r="H204" s="46">
        <v>67745.13</v>
      </c>
    </row>
    <row r="205" spans="1:8">
      <c r="A205" s="37"/>
      <c r="B205" s="37"/>
      <c r="C205" s="37"/>
      <c r="D205" s="37"/>
      <c r="E205" s="37"/>
      <c r="F205" s="37"/>
      <c r="G205" s="37" t="s">
        <v>311</v>
      </c>
      <c r="H205" s="46">
        <v>27042.23</v>
      </c>
    </row>
    <row r="206" spans="1:8" ht="13.5" thickBot="1">
      <c r="A206" s="37"/>
      <c r="B206" s="37"/>
      <c r="C206" s="37"/>
      <c r="D206" s="37"/>
      <c r="E206" s="37"/>
      <c r="F206" s="37"/>
      <c r="G206" s="37" t="s">
        <v>312</v>
      </c>
      <c r="H206" s="47">
        <v>11171.64</v>
      </c>
    </row>
    <row r="207" spans="1:8">
      <c r="A207" s="37"/>
      <c r="B207" s="37"/>
      <c r="C207" s="37"/>
      <c r="D207" s="37"/>
      <c r="E207" s="37"/>
      <c r="F207" s="37" t="s">
        <v>313</v>
      </c>
      <c r="G207" s="37"/>
      <c r="H207" s="46">
        <f>ROUND(SUM(H199:H206),5)</f>
        <v>359767.68</v>
      </c>
    </row>
    <row r="208" spans="1:8" ht="26.45" customHeight="1">
      <c r="A208" s="37"/>
      <c r="B208" s="37"/>
      <c r="C208" s="37"/>
      <c r="D208" s="37"/>
      <c r="E208" s="37"/>
      <c r="F208" s="37" t="s">
        <v>394</v>
      </c>
      <c r="G208" s="37"/>
      <c r="H208" s="46">
        <v>891</v>
      </c>
    </row>
    <row r="209" spans="1:8" ht="13.5" thickBot="1">
      <c r="A209" s="37"/>
      <c r="B209" s="37"/>
      <c r="C209" s="37"/>
      <c r="D209" s="37"/>
      <c r="E209" s="37"/>
      <c r="F209" s="37" t="s">
        <v>395</v>
      </c>
      <c r="G209" s="37"/>
      <c r="H209" s="47">
        <v>23.61</v>
      </c>
    </row>
    <row r="210" spans="1:8">
      <c r="A210" s="37"/>
      <c r="B210" s="37"/>
      <c r="C210" s="37"/>
      <c r="D210" s="37"/>
      <c r="E210" s="37" t="s">
        <v>314</v>
      </c>
      <c r="F210" s="37"/>
      <c r="G210" s="37"/>
      <c r="H210" s="46">
        <f>ROUND(SUM(H197:H198)+SUM(H207:H209),5)</f>
        <v>360761.79</v>
      </c>
    </row>
    <row r="211" spans="1:8" ht="26.45" customHeight="1">
      <c r="A211" s="37"/>
      <c r="B211" s="37"/>
      <c r="C211" s="37"/>
      <c r="D211" s="37"/>
      <c r="E211" s="37" t="s">
        <v>315</v>
      </c>
      <c r="F211" s="37"/>
      <c r="G211" s="37"/>
      <c r="H211" s="46">
        <v>-360964.79</v>
      </c>
    </row>
    <row r="212" spans="1:8">
      <c r="A212" s="37"/>
      <c r="B212" s="37"/>
      <c r="C212" s="37"/>
      <c r="D212" s="37"/>
      <c r="E212" s="37" t="s">
        <v>396</v>
      </c>
      <c r="F212" s="37"/>
      <c r="G212" s="37"/>
      <c r="H212" s="46"/>
    </row>
    <row r="213" spans="1:8">
      <c r="A213" s="37"/>
      <c r="B213" s="37"/>
      <c r="C213" s="37"/>
      <c r="D213" s="37"/>
      <c r="E213" s="37"/>
      <c r="F213" s="37" t="s">
        <v>397</v>
      </c>
      <c r="G213" s="37"/>
      <c r="H213" s="46"/>
    </row>
    <row r="214" spans="1:8">
      <c r="A214" s="37"/>
      <c r="B214" s="37"/>
      <c r="C214" s="37"/>
      <c r="D214" s="37"/>
      <c r="E214" s="37"/>
      <c r="F214" s="37"/>
      <c r="G214" s="37" t="s">
        <v>398</v>
      </c>
      <c r="H214" s="46">
        <v>30466.37</v>
      </c>
    </row>
    <row r="215" spans="1:8">
      <c r="A215" s="37"/>
      <c r="B215" s="37"/>
      <c r="C215" s="37"/>
      <c r="D215" s="37"/>
      <c r="E215" s="37"/>
      <c r="F215" s="37"/>
      <c r="G215" s="37" t="s">
        <v>399</v>
      </c>
      <c r="H215" s="46">
        <v>5545.8</v>
      </c>
    </row>
    <row r="216" spans="1:8">
      <c r="A216" s="37"/>
      <c r="B216" s="37"/>
      <c r="C216" s="37"/>
      <c r="D216" s="37"/>
      <c r="E216" s="37"/>
      <c r="F216" s="37"/>
      <c r="G216" s="37" t="s">
        <v>400</v>
      </c>
      <c r="H216" s="46">
        <v>-364.78</v>
      </c>
    </row>
    <row r="217" spans="1:8">
      <c r="A217" s="37"/>
      <c r="B217" s="37"/>
      <c r="C217" s="37"/>
      <c r="D217" s="37"/>
      <c r="E217" s="37"/>
      <c r="F217" s="37"/>
      <c r="G217" s="37" t="s">
        <v>401</v>
      </c>
      <c r="H217" s="46">
        <v>6230.46</v>
      </c>
    </row>
    <row r="218" spans="1:8" ht="13.5" thickBot="1">
      <c r="A218" s="37"/>
      <c r="B218" s="37"/>
      <c r="C218" s="37"/>
      <c r="D218" s="37"/>
      <c r="E218" s="37"/>
      <c r="F218" s="37"/>
      <c r="G218" s="37" t="s">
        <v>402</v>
      </c>
      <c r="H218" s="47">
        <v>3003.75</v>
      </c>
    </row>
    <row r="219" spans="1:8">
      <c r="A219" s="37"/>
      <c r="B219" s="37"/>
      <c r="C219" s="37"/>
      <c r="D219" s="37"/>
      <c r="E219" s="37"/>
      <c r="F219" s="37" t="s">
        <v>403</v>
      </c>
      <c r="G219" s="37"/>
      <c r="H219" s="46">
        <f>ROUND(SUM(H213:H218),5)</f>
        <v>44881.599999999999</v>
      </c>
    </row>
    <row r="220" spans="1:8" ht="26.45" customHeight="1">
      <c r="A220" s="37"/>
      <c r="B220" s="37"/>
      <c r="C220" s="37"/>
      <c r="D220" s="37"/>
      <c r="E220" s="37"/>
      <c r="F220" s="37" t="s">
        <v>404</v>
      </c>
      <c r="G220" s="37"/>
      <c r="H220" s="46"/>
    </row>
    <row r="221" spans="1:8">
      <c r="A221" s="37"/>
      <c r="B221" s="37"/>
      <c r="C221" s="37"/>
      <c r="D221" s="37"/>
      <c r="E221" s="37"/>
      <c r="F221" s="37"/>
      <c r="G221" s="37" t="s">
        <v>405</v>
      </c>
      <c r="H221" s="46">
        <v>2100.42</v>
      </c>
    </row>
    <row r="222" spans="1:8" ht="13.5" thickBot="1">
      <c r="A222" s="37"/>
      <c r="B222" s="37"/>
      <c r="C222" s="37"/>
      <c r="D222" s="37"/>
      <c r="E222" s="37"/>
      <c r="F222" s="37"/>
      <c r="G222" s="37" t="s">
        <v>406</v>
      </c>
      <c r="H222" s="47">
        <v>59825.1</v>
      </c>
    </row>
    <row r="223" spans="1:8" ht="13.5" thickBot="1">
      <c r="A223" s="37"/>
      <c r="B223" s="37"/>
      <c r="C223" s="37"/>
      <c r="D223" s="37"/>
      <c r="E223" s="37"/>
      <c r="F223" s="37" t="s">
        <v>407</v>
      </c>
      <c r="G223" s="37"/>
      <c r="H223" s="48">
        <f>ROUND(SUM(H220:H222),5)</f>
        <v>61925.52</v>
      </c>
    </row>
    <row r="224" spans="1:8" ht="26.45" customHeight="1">
      <c r="A224" s="37"/>
      <c r="B224" s="37"/>
      <c r="C224" s="37"/>
      <c r="D224" s="37"/>
      <c r="E224" s="37" t="s">
        <v>408</v>
      </c>
      <c r="F224" s="37"/>
      <c r="G224" s="37"/>
      <c r="H224" s="46">
        <f>ROUND(H212+H219+H223,5)</f>
        <v>106807.12</v>
      </c>
    </row>
    <row r="225" spans="1:8" ht="26.45" customHeight="1">
      <c r="A225" s="37"/>
      <c r="B225" s="37"/>
      <c r="C225" s="37"/>
      <c r="D225" s="37"/>
      <c r="E225" s="37" t="s">
        <v>409</v>
      </c>
      <c r="F225" s="37"/>
      <c r="G225" s="37"/>
      <c r="H225" s="46">
        <v>-106807.12</v>
      </c>
    </row>
    <row r="226" spans="1:8">
      <c r="A226" s="37"/>
      <c r="B226" s="37"/>
      <c r="C226" s="37"/>
      <c r="D226" s="37"/>
      <c r="E226" s="37" t="s">
        <v>410</v>
      </c>
      <c r="F226" s="37"/>
      <c r="G226" s="37"/>
      <c r="H226" s="46">
        <v>2104.1999999999998</v>
      </c>
    </row>
    <row r="227" spans="1:8">
      <c r="A227" s="37"/>
      <c r="B227" s="37"/>
      <c r="C227" s="37"/>
      <c r="D227" s="37"/>
      <c r="E227" s="37" t="s">
        <v>411</v>
      </c>
      <c r="F227" s="37"/>
      <c r="G227" s="37"/>
      <c r="H227" s="46">
        <v>1018.85</v>
      </c>
    </row>
    <row r="228" spans="1:8">
      <c r="A228" s="37"/>
      <c r="B228" s="37"/>
      <c r="C228" s="37"/>
      <c r="D228" s="37"/>
      <c r="E228" s="37" t="s">
        <v>316</v>
      </c>
      <c r="F228" s="37"/>
      <c r="G228" s="37"/>
      <c r="H228" s="46"/>
    </row>
    <row r="229" spans="1:8">
      <c r="A229" s="37"/>
      <c r="B229" s="37"/>
      <c r="C229" s="37"/>
      <c r="D229" s="37"/>
      <c r="E229" s="37"/>
      <c r="F229" s="37" t="s">
        <v>317</v>
      </c>
      <c r="G229" s="37"/>
      <c r="H229" s="46">
        <v>319.02</v>
      </c>
    </row>
    <row r="230" spans="1:8" ht="13.5" thickBot="1">
      <c r="A230" s="37"/>
      <c r="B230" s="37"/>
      <c r="C230" s="37"/>
      <c r="D230" s="37"/>
      <c r="E230" s="37"/>
      <c r="F230" s="37" t="s">
        <v>318</v>
      </c>
      <c r="G230" s="37"/>
      <c r="H230" s="47">
        <v>8828.86</v>
      </c>
    </row>
    <row r="231" spans="1:8">
      <c r="A231" s="37"/>
      <c r="B231" s="37"/>
      <c r="C231" s="37"/>
      <c r="D231" s="37"/>
      <c r="E231" s="37" t="s">
        <v>319</v>
      </c>
      <c r="F231" s="37"/>
      <c r="G231" s="37"/>
      <c r="H231" s="46">
        <f>ROUND(SUM(H228:H230),5)</f>
        <v>9147.8799999999992</v>
      </c>
    </row>
    <row r="232" spans="1:8" ht="26.45" customHeight="1">
      <c r="A232" s="37"/>
      <c r="B232" s="37"/>
      <c r="C232" s="37"/>
      <c r="D232" s="37"/>
      <c r="E232" s="37" t="s">
        <v>320</v>
      </c>
      <c r="F232" s="37"/>
      <c r="G232" s="37"/>
      <c r="H232" s="46"/>
    </row>
    <row r="233" spans="1:8">
      <c r="A233" s="37"/>
      <c r="B233" s="37"/>
      <c r="C233" s="37"/>
      <c r="D233" s="37"/>
      <c r="E233" s="37"/>
      <c r="F233" s="37" t="s">
        <v>321</v>
      </c>
      <c r="G233" s="37"/>
      <c r="H233" s="46">
        <v>5004.79</v>
      </c>
    </row>
    <row r="234" spans="1:8">
      <c r="A234" s="37"/>
      <c r="B234" s="37"/>
      <c r="C234" s="37"/>
      <c r="D234" s="37"/>
      <c r="E234" s="37"/>
      <c r="F234" s="37" t="s">
        <v>322</v>
      </c>
      <c r="G234" s="37"/>
      <c r="H234" s="46">
        <v>780.43</v>
      </c>
    </row>
    <row r="235" spans="1:8">
      <c r="A235" s="37"/>
      <c r="B235" s="37"/>
      <c r="C235" s="37"/>
      <c r="D235" s="37"/>
      <c r="E235" s="37"/>
      <c r="F235" s="37" t="s">
        <v>323</v>
      </c>
      <c r="G235" s="37"/>
      <c r="H235" s="46">
        <v>339.41</v>
      </c>
    </row>
    <row r="236" spans="1:8">
      <c r="A236" s="37"/>
      <c r="B236" s="37"/>
      <c r="C236" s="37"/>
      <c r="D236" s="37"/>
      <c r="E236" s="37"/>
      <c r="F236" s="37" t="s">
        <v>412</v>
      </c>
      <c r="G236" s="37"/>
      <c r="H236" s="46">
        <v>4525.01</v>
      </c>
    </row>
    <row r="237" spans="1:8" ht="13.5" thickBot="1">
      <c r="A237" s="37"/>
      <c r="B237" s="37"/>
      <c r="C237" s="37"/>
      <c r="D237" s="37"/>
      <c r="E237" s="37"/>
      <c r="F237" s="37" t="s">
        <v>413</v>
      </c>
      <c r="G237" s="37"/>
      <c r="H237" s="47">
        <v>2434.64</v>
      </c>
    </row>
    <row r="238" spans="1:8">
      <c r="A238" s="37"/>
      <c r="B238" s="37"/>
      <c r="C238" s="37"/>
      <c r="D238" s="37"/>
      <c r="E238" s="37" t="s">
        <v>324</v>
      </c>
      <c r="F238" s="37"/>
      <c r="G238" s="37"/>
      <c r="H238" s="46">
        <f>ROUND(SUM(H232:H237),5)</f>
        <v>13084.28</v>
      </c>
    </row>
    <row r="239" spans="1:8" ht="26.45" customHeight="1">
      <c r="A239" s="37"/>
      <c r="B239" s="37"/>
      <c r="C239" s="37"/>
      <c r="D239" s="37"/>
      <c r="E239" s="37" t="s">
        <v>325</v>
      </c>
      <c r="F239" s="37"/>
      <c r="G239" s="37"/>
      <c r="H239" s="46"/>
    </row>
    <row r="240" spans="1:8">
      <c r="A240" s="37"/>
      <c r="B240" s="37"/>
      <c r="C240" s="37"/>
      <c r="D240" s="37"/>
      <c r="E240" s="37"/>
      <c r="F240" s="37" t="s">
        <v>414</v>
      </c>
      <c r="G240" s="37"/>
      <c r="H240" s="46">
        <v>1322.23</v>
      </c>
    </row>
    <row r="241" spans="1:8">
      <c r="A241" s="37"/>
      <c r="B241" s="37"/>
      <c r="C241" s="37"/>
      <c r="D241" s="37"/>
      <c r="E241" s="37"/>
      <c r="F241" s="37" t="s">
        <v>326</v>
      </c>
      <c r="G241" s="37"/>
      <c r="H241" s="46">
        <v>16331.41</v>
      </c>
    </row>
    <row r="242" spans="1:8">
      <c r="A242" s="37"/>
      <c r="B242" s="37"/>
      <c r="C242" s="37"/>
      <c r="D242" s="37"/>
      <c r="E242" s="37"/>
      <c r="F242" s="37" t="s">
        <v>415</v>
      </c>
      <c r="G242" s="37"/>
      <c r="H242" s="46">
        <v>6557.89</v>
      </c>
    </row>
    <row r="243" spans="1:8">
      <c r="A243" s="37"/>
      <c r="B243" s="37"/>
      <c r="C243" s="37"/>
      <c r="D243" s="37"/>
      <c r="E243" s="37"/>
      <c r="F243" s="37" t="s">
        <v>327</v>
      </c>
      <c r="G243" s="37"/>
      <c r="H243" s="46">
        <v>1797.16</v>
      </c>
    </row>
    <row r="244" spans="1:8" ht="13.5" thickBot="1">
      <c r="A244" s="37"/>
      <c r="B244" s="37"/>
      <c r="C244" s="37"/>
      <c r="D244" s="37"/>
      <c r="E244" s="37"/>
      <c r="F244" s="37" t="s">
        <v>328</v>
      </c>
      <c r="G244" s="37"/>
      <c r="H244" s="47">
        <v>54163.519999999997</v>
      </c>
    </row>
    <row r="245" spans="1:8">
      <c r="A245" s="37"/>
      <c r="B245" s="37"/>
      <c r="C245" s="37"/>
      <c r="D245" s="37"/>
      <c r="E245" s="37" t="s">
        <v>330</v>
      </c>
      <c r="F245" s="37"/>
      <c r="G245" s="37"/>
      <c r="H245" s="46">
        <f>ROUND(SUM(H239:H244),5)</f>
        <v>80172.210000000006</v>
      </c>
    </row>
    <row r="246" spans="1:8" ht="26.45" customHeight="1" thickBot="1">
      <c r="A246" s="37"/>
      <c r="B246" s="37"/>
      <c r="C246" s="37"/>
      <c r="D246" s="37"/>
      <c r="E246" s="37" t="s">
        <v>416</v>
      </c>
      <c r="F246" s="37"/>
      <c r="G246" s="37"/>
      <c r="H246" s="47">
        <v>207</v>
      </c>
    </row>
    <row r="247" spans="1:8" ht="13.5" thickBot="1">
      <c r="A247" s="37"/>
      <c r="B247" s="37"/>
      <c r="C247" s="37"/>
      <c r="D247" s="37" t="s">
        <v>331</v>
      </c>
      <c r="E247" s="37"/>
      <c r="F247" s="37"/>
      <c r="G247" s="37"/>
      <c r="H247" s="48">
        <f>ROUND(SUM(H38:H41)+SUM(H46:H47)+SUM(H53:H60)+SUM(H69:H71)+H88+SUM(H98:H99)+H108+SUM(H132:H135)+SUM(H141:H142)+SUM(H147:H148)+SUM(H153:H155)+H160+H166+SUM(H172:H173)+SUM(H181:H182)+SUM(H195:H196)+SUM(H210:H211)+SUM(H224:H227)+H231+H238+SUM(H245:H246),5)</f>
        <v>1208186.23</v>
      </c>
    </row>
    <row r="248" spans="1:8" ht="26.45" customHeight="1">
      <c r="A248" s="37"/>
      <c r="B248" s="37" t="s">
        <v>332</v>
      </c>
      <c r="C248" s="37"/>
      <c r="D248" s="37"/>
      <c r="E248" s="37"/>
      <c r="F248" s="37"/>
      <c r="G248" s="37"/>
      <c r="H248" s="46">
        <f>ROUND(H2+H37-H247,5)</f>
        <v>49690.52</v>
      </c>
    </row>
    <row r="249" spans="1:8" ht="26.45" customHeight="1">
      <c r="A249" s="37"/>
      <c r="B249" s="37" t="s">
        <v>333</v>
      </c>
      <c r="C249" s="37"/>
      <c r="D249" s="37"/>
      <c r="E249" s="37"/>
      <c r="F249" s="37"/>
      <c r="G249" s="37"/>
      <c r="H249" s="46"/>
    </row>
    <row r="250" spans="1:8">
      <c r="A250" s="37"/>
      <c r="B250" s="37"/>
      <c r="C250" s="37" t="s">
        <v>417</v>
      </c>
      <c r="D250" s="37"/>
      <c r="E250" s="37"/>
      <c r="F250" s="37"/>
      <c r="G250" s="37"/>
      <c r="H250" s="46"/>
    </row>
    <row r="251" spans="1:8">
      <c r="A251" s="37"/>
      <c r="B251" s="37"/>
      <c r="C251" s="37"/>
      <c r="D251" s="37" t="s">
        <v>418</v>
      </c>
      <c r="E251" s="37"/>
      <c r="F251" s="37"/>
      <c r="G251" s="37"/>
      <c r="H251" s="46"/>
    </row>
    <row r="252" spans="1:8">
      <c r="A252" s="37"/>
      <c r="B252" s="37"/>
      <c r="C252" s="37"/>
      <c r="D252" s="37"/>
      <c r="E252" s="37" t="s">
        <v>419</v>
      </c>
      <c r="F252" s="37"/>
      <c r="G252" s="37"/>
      <c r="H252" s="46">
        <v>195347</v>
      </c>
    </row>
    <row r="253" spans="1:8">
      <c r="A253" s="37"/>
      <c r="B253" s="37"/>
      <c r="C253" s="37"/>
      <c r="D253" s="37"/>
      <c r="E253" s="37" t="s">
        <v>420</v>
      </c>
      <c r="F253" s="37"/>
      <c r="G253" s="37"/>
      <c r="H253" s="46">
        <v>500</v>
      </c>
    </row>
    <row r="254" spans="1:8">
      <c r="A254" s="37"/>
      <c r="B254" s="37"/>
      <c r="C254" s="37"/>
      <c r="D254" s="37"/>
      <c r="E254" s="37" t="s">
        <v>421</v>
      </c>
      <c r="F254" s="37"/>
      <c r="G254" s="37"/>
      <c r="H254" s="46">
        <v>570</v>
      </c>
    </row>
    <row r="255" spans="1:8">
      <c r="A255" s="37"/>
      <c r="B255" s="37"/>
      <c r="C255" s="37"/>
      <c r="D255" s="37"/>
      <c r="E255" s="37" t="s">
        <v>422</v>
      </c>
      <c r="F255" s="37"/>
      <c r="G255" s="37"/>
      <c r="H255" s="46">
        <v>2157</v>
      </c>
    </row>
    <row r="256" spans="1:8" ht="13.5" thickBot="1">
      <c r="A256" s="37"/>
      <c r="B256" s="37"/>
      <c r="C256" s="37"/>
      <c r="D256" s="37"/>
      <c r="E256" s="37" t="s">
        <v>423</v>
      </c>
      <c r="F256" s="37"/>
      <c r="G256" s="37"/>
      <c r="H256" s="47">
        <v>66950</v>
      </c>
    </row>
    <row r="257" spans="1:8" ht="13.5" thickBot="1">
      <c r="A257" s="37"/>
      <c r="B257" s="37"/>
      <c r="C257" s="37"/>
      <c r="D257" s="37" t="s">
        <v>424</v>
      </c>
      <c r="E257" s="37"/>
      <c r="F257" s="37"/>
      <c r="G257" s="37"/>
      <c r="H257" s="48">
        <f>ROUND(SUM(H251:H256),5)</f>
        <v>265524</v>
      </c>
    </row>
    <row r="258" spans="1:8" ht="26.45" customHeight="1">
      <c r="A258" s="37"/>
      <c r="B258" s="37"/>
      <c r="C258" s="37" t="s">
        <v>425</v>
      </c>
      <c r="D258" s="37"/>
      <c r="E258" s="37"/>
      <c r="F258" s="37"/>
      <c r="G258" s="37"/>
      <c r="H258" s="46">
        <f>ROUND(H250+H257,5)</f>
        <v>265524</v>
      </c>
    </row>
    <row r="259" spans="1:8" ht="26.45" customHeight="1">
      <c r="A259" s="37"/>
      <c r="B259" s="37"/>
      <c r="C259" s="37" t="s">
        <v>334</v>
      </c>
      <c r="D259" s="37"/>
      <c r="E259" s="37"/>
      <c r="F259" s="37"/>
      <c r="G259" s="37"/>
      <c r="H259" s="46"/>
    </row>
    <row r="260" spans="1:8">
      <c r="A260" s="37"/>
      <c r="B260" s="37"/>
      <c r="C260" s="37"/>
      <c r="D260" s="37" t="s">
        <v>335</v>
      </c>
      <c r="E260" s="37"/>
      <c r="F260" s="37"/>
      <c r="G260" s="37"/>
      <c r="H260" s="46"/>
    </row>
    <row r="261" spans="1:8">
      <c r="A261" s="37"/>
      <c r="B261" s="37"/>
      <c r="C261" s="37"/>
      <c r="D261" s="37"/>
      <c r="E261" s="37" t="s">
        <v>336</v>
      </c>
      <c r="F261" s="37"/>
      <c r="G261" s="37"/>
      <c r="H261" s="46">
        <v>26064.87</v>
      </c>
    </row>
    <row r="262" spans="1:8">
      <c r="A262" s="37"/>
      <c r="B262" s="37"/>
      <c r="C262" s="37"/>
      <c r="D262" s="37"/>
      <c r="E262" s="37" t="s">
        <v>426</v>
      </c>
      <c r="F262" s="37"/>
      <c r="G262" s="37"/>
      <c r="H262" s="46">
        <v>34134</v>
      </c>
    </row>
    <row r="263" spans="1:8" ht="13.5" thickBot="1">
      <c r="A263" s="37"/>
      <c r="B263" s="37"/>
      <c r="C263" s="37"/>
      <c r="D263" s="37"/>
      <c r="E263" s="37" t="s">
        <v>427</v>
      </c>
      <c r="F263" s="37"/>
      <c r="G263" s="37"/>
      <c r="H263" s="47">
        <v>702.79</v>
      </c>
    </row>
    <row r="264" spans="1:8" ht="13.5" thickBot="1">
      <c r="A264" s="37"/>
      <c r="B264" s="37"/>
      <c r="C264" s="37"/>
      <c r="D264" s="37" t="s">
        <v>337</v>
      </c>
      <c r="E264" s="37"/>
      <c r="F264" s="37"/>
      <c r="G264" s="37"/>
      <c r="H264" s="48">
        <f>ROUND(SUM(H260:H263),5)</f>
        <v>60901.66</v>
      </c>
    </row>
    <row r="265" spans="1:8" ht="26.45" customHeight="1" thickBot="1">
      <c r="A265" s="37"/>
      <c r="B265" s="37"/>
      <c r="C265" s="37" t="s">
        <v>338</v>
      </c>
      <c r="D265" s="37"/>
      <c r="E265" s="37"/>
      <c r="F265" s="37"/>
      <c r="G265" s="37"/>
      <c r="H265" s="48">
        <f>ROUND(H259+H264,5)</f>
        <v>60901.66</v>
      </c>
    </row>
    <row r="266" spans="1:8" ht="26.45" customHeight="1" thickBot="1">
      <c r="A266" s="37"/>
      <c r="B266" s="37" t="s">
        <v>339</v>
      </c>
      <c r="C266" s="37"/>
      <c r="D266" s="37"/>
      <c r="E266" s="37"/>
      <c r="F266" s="37"/>
      <c r="G266" s="37"/>
      <c r="H266" s="48">
        <f>ROUND(H249+H258-H265,5)</f>
        <v>204622.34</v>
      </c>
    </row>
    <row r="267" spans="1:8" s="42" customFormat="1" ht="26.45" customHeight="1" thickBot="1">
      <c r="A267" s="37" t="s">
        <v>94</v>
      </c>
      <c r="B267" s="37"/>
      <c r="C267" s="37"/>
      <c r="D267" s="37"/>
      <c r="E267" s="37"/>
      <c r="F267" s="37"/>
      <c r="G267" s="37"/>
      <c r="H267" s="49">
        <f>ROUND(H248+H266,5)</f>
        <v>254312.86</v>
      </c>
    </row>
    <row r="268" spans="1:8" ht="13.5" thickTop="1"/>
  </sheetData>
  <pageMargins left="0.75" right="0.75" top="1" bottom="1" header="0.25" footer="0.5"/>
  <pageSetup orientation="portrait" verticalDpi="0" r:id="rId1"/>
  <headerFooter alignWithMargins="0">
    <oddHeader>&amp;L&amp;"Arial,Bold"&amp;8 3:19 PM
&amp;"Arial,Bold"&amp;8 04/28/08
&amp;"Arial,Bold"&amp;8 Accrual Basis&amp;C&amp;"Arial,Bold"&amp;12 Torii Mor Winery, LLC
&amp;"Arial,Bold"&amp;14 Profit &amp;&amp; Loss
&amp;"Arial,Bold"&amp;10 January through December 2007</oddHeader>
    <oddFooter>&amp;R&amp;"Arial,Bold"&amp;8 Page 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92"/>
  <sheetViews>
    <sheetView workbookViewId="0">
      <pane xSplit="7" ySplit="1" topLeftCell="H172" activePane="bottomRight" state="frozenSplit"/>
      <selection pane="topRight" activeCell="H1" sqref="H1"/>
      <selection pane="bottomLeft" activeCell="A2" sqref="A2"/>
      <selection pane="bottomRight" activeCell="H193" sqref="H193"/>
    </sheetView>
  </sheetViews>
  <sheetFormatPr defaultRowHeight="12.75"/>
  <cols>
    <col min="1" max="6" width="3" style="44" customWidth="1"/>
    <col min="7" max="7" width="31.42578125" style="44" customWidth="1"/>
    <col min="8" max="8" width="9.28515625" style="45" bestFit="1" customWidth="1"/>
    <col min="9" max="16384" width="9.140625" style="39"/>
  </cols>
  <sheetData>
    <row r="1" spans="1:8" s="36" customFormat="1" ht="13.5" thickBot="1">
      <c r="A1" s="34"/>
      <c r="B1" s="34"/>
      <c r="C1" s="34"/>
      <c r="D1" s="34"/>
      <c r="E1" s="34"/>
      <c r="F1" s="34"/>
      <c r="G1" s="34"/>
      <c r="H1" s="35" t="s">
        <v>150</v>
      </c>
    </row>
    <row r="2" spans="1:8" ht="13.5" thickTop="1">
      <c r="A2" s="37"/>
      <c r="B2" s="37" t="s">
        <v>151</v>
      </c>
      <c r="C2" s="37"/>
      <c r="D2" s="37"/>
      <c r="E2" s="37"/>
      <c r="F2" s="37"/>
      <c r="G2" s="37"/>
      <c r="H2" s="38"/>
    </row>
    <row r="3" spans="1:8">
      <c r="A3" s="37"/>
      <c r="B3" s="37"/>
      <c r="C3" s="37"/>
      <c r="D3" s="37" t="s">
        <v>152</v>
      </c>
      <c r="E3" s="37"/>
      <c r="F3" s="37"/>
      <c r="G3" s="37"/>
      <c r="H3" s="38"/>
    </row>
    <row r="4" spans="1:8">
      <c r="A4" s="37"/>
      <c r="B4" s="37"/>
      <c r="C4" s="37"/>
      <c r="D4" s="37"/>
      <c r="E4" s="37" t="s">
        <v>153</v>
      </c>
      <c r="F4" s="37"/>
      <c r="G4" s="37"/>
      <c r="H4" s="38"/>
    </row>
    <row r="5" spans="1:8">
      <c r="A5" s="37"/>
      <c r="B5" s="37"/>
      <c r="C5" s="37"/>
      <c r="D5" s="37"/>
      <c r="E5" s="37"/>
      <c r="F5" s="37" t="s">
        <v>154</v>
      </c>
      <c r="G5" s="37"/>
      <c r="H5" s="38">
        <v>581297.19999999995</v>
      </c>
    </row>
    <row r="6" spans="1:8">
      <c r="A6" s="37"/>
      <c r="B6" s="37"/>
      <c r="C6" s="37"/>
      <c r="D6" s="37"/>
      <c r="E6" s="37"/>
      <c r="F6" s="37" t="s">
        <v>155</v>
      </c>
      <c r="G6" s="37"/>
      <c r="H6" s="38">
        <v>2363.5</v>
      </c>
    </row>
    <row r="7" spans="1:8">
      <c r="A7" s="37"/>
      <c r="B7" s="37"/>
      <c r="C7" s="37"/>
      <c r="D7" s="37"/>
      <c r="E7" s="37"/>
      <c r="F7" s="37" t="s">
        <v>156</v>
      </c>
      <c r="G7" s="37"/>
      <c r="H7" s="38">
        <v>147</v>
      </c>
    </row>
    <row r="8" spans="1:8">
      <c r="A8" s="37"/>
      <c r="B8" s="37"/>
      <c r="C8" s="37"/>
      <c r="D8" s="37"/>
      <c r="E8" s="37"/>
      <c r="F8" s="37" t="s">
        <v>157</v>
      </c>
      <c r="G8" s="37"/>
      <c r="H8" s="38">
        <v>10445</v>
      </c>
    </row>
    <row r="9" spans="1:8">
      <c r="A9" s="37"/>
      <c r="B9" s="37"/>
      <c r="C9" s="37"/>
      <c r="D9" s="37"/>
      <c r="E9" s="37"/>
      <c r="F9" s="37" t="s">
        <v>158</v>
      </c>
      <c r="G9" s="37"/>
      <c r="H9" s="38">
        <v>30</v>
      </c>
    </row>
    <row r="10" spans="1:8" ht="13.5" thickBot="1">
      <c r="A10" s="37"/>
      <c r="B10" s="37"/>
      <c r="C10" s="37"/>
      <c r="D10" s="37"/>
      <c r="E10" s="37"/>
      <c r="F10" s="37" t="s">
        <v>159</v>
      </c>
      <c r="G10" s="37"/>
      <c r="H10" s="40">
        <v>160</v>
      </c>
    </row>
    <row r="11" spans="1:8">
      <c r="A11" s="37"/>
      <c r="B11" s="37"/>
      <c r="C11" s="37"/>
      <c r="D11" s="37"/>
      <c r="E11" s="37" t="s">
        <v>160</v>
      </c>
      <c r="F11" s="37"/>
      <c r="G11" s="37"/>
      <c r="H11" s="38">
        <f>ROUND(SUM(H4:H10),5)</f>
        <v>594442.69999999995</v>
      </c>
    </row>
    <row r="12" spans="1:8" ht="26.45" customHeight="1">
      <c r="A12" s="37"/>
      <c r="B12" s="37"/>
      <c r="C12" s="37"/>
      <c r="D12" s="37"/>
      <c r="E12" s="37" t="s">
        <v>161</v>
      </c>
      <c r="F12" s="37"/>
      <c r="G12" s="37"/>
      <c r="H12" s="38">
        <v>35354.339999999997</v>
      </c>
    </row>
    <row r="13" spans="1:8">
      <c r="A13" s="37"/>
      <c r="B13" s="37"/>
      <c r="C13" s="37"/>
      <c r="D13" s="37"/>
      <c r="E13" s="37" t="s">
        <v>162</v>
      </c>
      <c r="F13" s="37"/>
      <c r="G13" s="37"/>
      <c r="H13" s="38"/>
    </row>
    <row r="14" spans="1:8">
      <c r="A14" s="37"/>
      <c r="B14" s="37"/>
      <c r="C14" s="37"/>
      <c r="D14" s="37"/>
      <c r="E14" s="37"/>
      <c r="F14" s="37" t="s">
        <v>163</v>
      </c>
      <c r="G14" s="37"/>
      <c r="H14" s="38">
        <v>3818</v>
      </c>
    </row>
    <row r="15" spans="1:8" ht="13.5" thickBot="1">
      <c r="A15" s="37"/>
      <c r="B15" s="37"/>
      <c r="C15" s="37"/>
      <c r="D15" s="37"/>
      <c r="E15" s="37"/>
      <c r="F15" s="37" t="s">
        <v>164</v>
      </c>
      <c r="G15" s="37"/>
      <c r="H15" s="40">
        <v>18074.75</v>
      </c>
    </row>
    <row r="16" spans="1:8">
      <c r="A16" s="37"/>
      <c r="B16" s="37"/>
      <c r="C16" s="37"/>
      <c r="D16" s="37"/>
      <c r="E16" s="37" t="s">
        <v>165</v>
      </c>
      <c r="F16" s="37"/>
      <c r="G16" s="37"/>
      <c r="H16" s="38">
        <f>ROUND(SUM(H13:H15),5)</f>
        <v>21892.75</v>
      </c>
    </row>
    <row r="17" spans="1:8" ht="26.45" customHeight="1">
      <c r="A17" s="37"/>
      <c r="B17" s="37"/>
      <c r="C17" s="37"/>
      <c r="D17" s="37"/>
      <c r="E17" s="37" t="s">
        <v>166</v>
      </c>
      <c r="F17" s="37"/>
      <c r="G17" s="37"/>
      <c r="H17" s="38"/>
    </row>
    <row r="18" spans="1:8">
      <c r="A18" s="37"/>
      <c r="B18" s="37"/>
      <c r="C18" s="37"/>
      <c r="D18" s="37"/>
      <c r="E18" s="37"/>
      <c r="F18" s="37" t="s">
        <v>167</v>
      </c>
      <c r="G18" s="37"/>
      <c r="H18" s="38">
        <v>-5320.43</v>
      </c>
    </row>
    <row r="19" spans="1:8">
      <c r="A19" s="37"/>
      <c r="B19" s="37"/>
      <c r="C19" s="37"/>
      <c r="D19" s="37"/>
      <c r="E19" s="37"/>
      <c r="F19" s="37" t="s">
        <v>168</v>
      </c>
      <c r="G19" s="37"/>
      <c r="H19" s="38">
        <v>-11981</v>
      </c>
    </row>
    <row r="20" spans="1:8">
      <c r="A20" s="37"/>
      <c r="B20" s="37"/>
      <c r="C20" s="37"/>
      <c r="D20" s="37"/>
      <c r="E20" s="37"/>
      <c r="F20" s="37" t="s">
        <v>169</v>
      </c>
      <c r="G20" s="37"/>
      <c r="H20" s="38">
        <v>-4070.85</v>
      </c>
    </row>
    <row r="21" spans="1:8">
      <c r="A21" s="37"/>
      <c r="B21" s="37"/>
      <c r="C21" s="37"/>
      <c r="D21" s="37"/>
      <c r="E21" s="37"/>
      <c r="F21" s="37" t="s">
        <v>170</v>
      </c>
      <c r="G21" s="37"/>
      <c r="H21" s="38">
        <v>-1162.5</v>
      </c>
    </row>
    <row r="22" spans="1:8">
      <c r="A22" s="37"/>
      <c r="B22" s="37"/>
      <c r="C22" s="37"/>
      <c r="D22" s="37"/>
      <c r="E22" s="37"/>
      <c r="F22" s="37" t="s">
        <v>171</v>
      </c>
      <c r="G22" s="37"/>
      <c r="H22" s="38">
        <v>-10</v>
      </c>
    </row>
    <row r="23" spans="1:8" ht="13.5" thickBot="1">
      <c r="A23" s="37"/>
      <c r="B23" s="37"/>
      <c r="C23" s="37"/>
      <c r="D23" s="37"/>
      <c r="E23" s="37"/>
      <c r="F23" s="37" t="s">
        <v>172</v>
      </c>
      <c r="G23" s="37"/>
      <c r="H23" s="40">
        <v>-3542.5</v>
      </c>
    </row>
    <row r="24" spans="1:8" ht="13.5" thickBot="1">
      <c r="A24" s="37"/>
      <c r="B24" s="37"/>
      <c r="C24" s="37"/>
      <c r="D24" s="37"/>
      <c r="E24" s="37" t="s">
        <v>173</v>
      </c>
      <c r="F24" s="37"/>
      <c r="G24" s="37"/>
      <c r="H24" s="41">
        <f>ROUND(SUM(H17:H23),5)</f>
        <v>-26087.279999999999</v>
      </c>
    </row>
    <row r="25" spans="1:8" ht="26.45" customHeight="1">
      <c r="A25" s="37"/>
      <c r="B25" s="37"/>
      <c r="C25" s="37"/>
      <c r="D25" s="37" t="s">
        <v>174</v>
      </c>
      <c r="E25" s="37"/>
      <c r="F25" s="37"/>
      <c r="G25" s="37"/>
      <c r="H25" s="38">
        <f>ROUND(H3+SUM(H11:H12)+H16+H24,5)</f>
        <v>625602.51</v>
      </c>
    </row>
    <row r="26" spans="1:8" ht="26.45" customHeight="1">
      <c r="A26" s="37"/>
      <c r="B26" s="37"/>
      <c r="C26" s="37"/>
      <c r="D26" s="37" t="s">
        <v>175</v>
      </c>
      <c r="E26" s="37"/>
      <c r="F26" s="37"/>
      <c r="G26" s="37"/>
      <c r="H26" s="38"/>
    </row>
    <row r="27" spans="1:8">
      <c r="A27" s="37"/>
      <c r="B27" s="37"/>
      <c r="C27" s="37"/>
      <c r="D27" s="37"/>
      <c r="E27" s="37" t="s">
        <v>176</v>
      </c>
      <c r="F27" s="37"/>
      <c r="G27" s="37"/>
      <c r="H27" s="38">
        <v>30500.28</v>
      </c>
    </row>
    <row r="28" spans="1:8">
      <c r="A28" s="37"/>
      <c r="B28" s="37"/>
      <c r="C28" s="37"/>
      <c r="D28" s="37"/>
      <c r="E28" s="37" t="s">
        <v>177</v>
      </c>
      <c r="F28" s="37"/>
      <c r="G28" s="37"/>
      <c r="H28" s="38">
        <v>312152.48</v>
      </c>
    </row>
    <row r="29" spans="1:8" ht="13.5" thickBot="1">
      <c r="A29" s="37"/>
      <c r="B29" s="37"/>
      <c r="C29" s="37"/>
      <c r="D29" s="37"/>
      <c r="E29" s="37" t="s">
        <v>178</v>
      </c>
      <c r="F29" s="37"/>
      <c r="G29" s="37"/>
      <c r="H29" s="40">
        <v>1706.57</v>
      </c>
    </row>
    <row r="30" spans="1:8" ht="13.5" thickBot="1">
      <c r="A30" s="37"/>
      <c r="B30" s="37"/>
      <c r="C30" s="37"/>
      <c r="D30" s="37" t="s">
        <v>179</v>
      </c>
      <c r="E30" s="37"/>
      <c r="F30" s="37"/>
      <c r="G30" s="37"/>
      <c r="H30" s="41">
        <f>ROUND(SUM(H26:H29),5)</f>
        <v>344359.33</v>
      </c>
    </row>
    <row r="31" spans="1:8" ht="26.45" customHeight="1">
      <c r="A31" s="37"/>
      <c r="B31" s="37"/>
      <c r="C31" s="37" t="s">
        <v>180</v>
      </c>
      <c r="D31" s="37"/>
      <c r="E31" s="37"/>
      <c r="F31" s="37"/>
      <c r="G31" s="37"/>
      <c r="H31" s="38">
        <f>ROUND(H25-H30,5)</f>
        <v>281243.18</v>
      </c>
    </row>
    <row r="32" spans="1:8" ht="26.45" customHeight="1">
      <c r="A32" s="37"/>
      <c r="B32" s="37"/>
      <c r="C32" s="37"/>
      <c r="D32" s="37" t="s">
        <v>181</v>
      </c>
      <c r="E32" s="37"/>
      <c r="F32" s="37"/>
      <c r="G32" s="37"/>
      <c r="H32" s="38"/>
    </row>
    <row r="33" spans="1:8">
      <c r="A33" s="37"/>
      <c r="B33" s="37"/>
      <c r="C33" s="37"/>
      <c r="D33" s="37"/>
      <c r="E33" s="37" t="s">
        <v>182</v>
      </c>
      <c r="F33" s="37"/>
      <c r="G33" s="37"/>
      <c r="H33" s="38">
        <v>-17.75</v>
      </c>
    </row>
    <row r="34" spans="1:8">
      <c r="A34" s="37"/>
      <c r="B34" s="37"/>
      <c r="C34" s="37"/>
      <c r="D34" s="37"/>
      <c r="E34" s="37" t="s">
        <v>183</v>
      </c>
      <c r="F34" s="37"/>
      <c r="G34" s="37"/>
      <c r="H34" s="38">
        <v>120</v>
      </c>
    </row>
    <row r="35" spans="1:8">
      <c r="A35" s="37"/>
      <c r="B35" s="37"/>
      <c r="C35" s="37"/>
      <c r="D35" s="37"/>
      <c r="E35" s="37" t="s">
        <v>184</v>
      </c>
      <c r="F35" s="37"/>
      <c r="G35" s="37"/>
      <c r="H35" s="38"/>
    </row>
    <row r="36" spans="1:8">
      <c r="A36" s="37"/>
      <c r="B36" s="37"/>
      <c r="C36" s="37"/>
      <c r="D36" s="37"/>
      <c r="E36" s="37"/>
      <c r="F36" s="37" t="s">
        <v>185</v>
      </c>
      <c r="G36" s="37"/>
      <c r="H36" s="38">
        <v>262</v>
      </c>
    </row>
    <row r="37" spans="1:8" ht="13.5" thickBot="1">
      <c r="A37" s="37"/>
      <c r="B37" s="37"/>
      <c r="C37" s="37"/>
      <c r="D37" s="37"/>
      <c r="E37" s="37"/>
      <c r="F37" s="37" t="s">
        <v>186</v>
      </c>
      <c r="G37" s="37"/>
      <c r="H37" s="40">
        <v>252.26</v>
      </c>
    </row>
    <row r="38" spans="1:8">
      <c r="A38" s="37"/>
      <c r="B38" s="37"/>
      <c r="C38" s="37"/>
      <c r="D38" s="37"/>
      <c r="E38" s="37" t="s">
        <v>187</v>
      </c>
      <c r="F38" s="37"/>
      <c r="G38" s="37"/>
      <c r="H38" s="38">
        <f>ROUND(SUM(H35:H37),5)</f>
        <v>514.26</v>
      </c>
    </row>
    <row r="39" spans="1:8" ht="26.45" customHeight="1">
      <c r="A39" s="37"/>
      <c r="B39" s="37"/>
      <c r="C39" s="37"/>
      <c r="D39" s="37"/>
      <c r="E39" s="37" t="s">
        <v>188</v>
      </c>
      <c r="F39" s="37"/>
      <c r="G39" s="37"/>
      <c r="H39" s="38"/>
    </row>
    <row r="40" spans="1:8">
      <c r="A40" s="37"/>
      <c r="B40" s="37"/>
      <c r="C40" s="37"/>
      <c r="D40" s="37"/>
      <c r="E40" s="37"/>
      <c r="F40" s="37" t="s">
        <v>189</v>
      </c>
      <c r="G40" s="37"/>
      <c r="H40" s="38">
        <v>15331.43</v>
      </c>
    </row>
    <row r="41" spans="1:8">
      <c r="A41" s="37"/>
      <c r="B41" s="37"/>
      <c r="C41" s="37"/>
      <c r="D41" s="37"/>
      <c r="E41" s="37"/>
      <c r="F41" s="37" t="s">
        <v>190</v>
      </c>
      <c r="G41" s="37"/>
      <c r="H41" s="38">
        <v>62.91</v>
      </c>
    </row>
    <row r="42" spans="1:8">
      <c r="A42" s="37"/>
      <c r="B42" s="37"/>
      <c r="C42" s="37"/>
      <c r="D42" s="37"/>
      <c r="E42" s="37"/>
      <c r="F42" s="37" t="s">
        <v>191</v>
      </c>
      <c r="G42" s="37"/>
      <c r="H42" s="38">
        <v>5</v>
      </c>
    </row>
    <row r="43" spans="1:8">
      <c r="A43" s="37"/>
      <c r="B43" s="37"/>
      <c r="C43" s="37"/>
      <c r="D43" s="37"/>
      <c r="E43" s="37"/>
      <c r="F43" s="37" t="s">
        <v>192</v>
      </c>
      <c r="G43" s="37"/>
      <c r="H43" s="38">
        <v>29526.65</v>
      </c>
    </row>
    <row r="44" spans="1:8" ht="13.5" thickBot="1">
      <c r="A44" s="37"/>
      <c r="B44" s="37"/>
      <c r="C44" s="37"/>
      <c r="D44" s="37"/>
      <c r="E44" s="37"/>
      <c r="F44" s="37" t="s">
        <v>193</v>
      </c>
      <c r="G44" s="37"/>
      <c r="H44" s="40">
        <v>43.24</v>
      </c>
    </row>
    <row r="45" spans="1:8">
      <c r="A45" s="37"/>
      <c r="B45" s="37"/>
      <c r="C45" s="37"/>
      <c r="D45" s="37"/>
      <c r="E45" s="37" t="s">
        <v>194</v>
      </c>
      <c r="F45" s="37"/>
      <c r="G45" s="37"/>
      <c r="H45" s="38">
        <f>ROUND(SUM(H39:H44),5)</f>
        <v>44969.23</v>
      </c>
    </row>
    <row r="46" spans="1:8" ht="26.45" customHeight="1">
      <c r="A46" s="37"/>
      <c r="B46" s="37"/>
      <c r="C46" s="37"/>
      <c r="D46" s="37"/>
      <c r="E46" s="37" t="s">
        <v>195</v>
      </c>
      <c r="F46" s="37"/>
      <c r="G46" s="37"/>
      <c r="H46" s="38">
        <v>3521.88</v>
      </c>
    </row>
    <row r="47" spans="1:8">
      <c r="A47" s="37"/>
      <c r="B47" s="37"/>
      <c r="C47" s="37"/>
      <c r="D47" s="37"/>
      <c r="E47" s="37" t="s">
        <v>196</v>
      </c>
      <c r="F47" s="37"/>
      <c r="G47" s="37"/>
      <c r="H47" s="38">
        <v>100</v>
      </c>
    </row>
    <row r="48" spans="1:8">
      <c r="A48" s="37"/>
      <c r="B48" s="37"/>
      <c r="C48" s="37"/>
      <c r="D48" s="37"/>
      <c r="E48" s="37" t="s">
        <v>197</v>
      </c>
      <c r="F48" s="37"/>
      <c r="G48" s="37"/>
      <c r="H48" s="38">
        <v>2911.04</v>
      </c>
    </row>
    <row r="49" spans="1:8">
      <c r="A49" s="37"/>
      <c r="B49" s="37"/>
      <c r="C49" s="37"/>
      <c r="D49" s="37"/>
      <c r="E49" s="37" t="s">
        <v>198</v>
      </c>
      <c r="F49" s="37"/>
      <c r="G49" s="37"/>
      <c r="H49" s="38">
        <v>122.48</v>
      </c>
    </row>
    <row r="50" spans="1:8">
      <c r="A50" s="37"/>
      <c r="B50" s="37"/>
      <c r="C50" s="37"/>
      <c r="D50" s="37"/>
      <c r="E50" s="37" t="s">
        <v>199</v>
      </c>
      <c r="F50" s="37"/>
      <c r="G50" s="37"/>
      <c r="H50" s="38"/>
    </row>
    <row r="51" spans="1:8">
      <c r="A51" s="37"/>
      <c r="B51" s="37"/>
      <c r="C51" s="37"/>
      <c r="D51" s="37"/>
      <c r="E51" s="37"/>
      <c r="F51" s="37" t="s">
        <v>200</v>
      </c>
      <c r="G51" s="37"/>
      <c r="H51" s="38">
        <v>183</v>
      </c>
    </row>
    <row r="52" spans="1:8">
      <c r="A52" s="37"/>
      <c r="B52" s="37"/>
      <c r="C52" s="37"/>
      <c r="D52" s="37"/>
      <c r="E52" s="37"/>
      <c r="F52" s="37" t="s">
        <v>201</v>
      </c>
      <c r="G52" s="37"/>
      <c r="H52" s="38">
        <v>8396.84</v>
      </c>
    </row>
    <row r="53" spans="1:8">
      <c r="A53" s="37"/>
      <c r="B53" s="37"/>
      <c r="C53" s="37"/>
      <c r="D53" s="37"/>
      <c r="E53" s="37"/>
      <c r="F53" s="37" t="s">
        <v>202</v>
      </c>
      <c r="G53" s="37"/>
      <c r="H53" s="38">
        <v>100</v>
      </c>
    </row>
    <row r="54" spans="1:8" ht="13.5" thickBot="1">
      <c r="A54" s="37"/>
      <c r="B54" s="37"/>
      <c r="C54" s="37"/>
      <c r="D54" s="37"/>
      <c r="E54" s="37"/>
      <c r="F54" s="37" t="s">
        <v>203</v>
      </c>
      <c r="G54" s="37"/>
      <c r="H54" s="40">
        <v>1146.9000000000001</v>
      </c>
    </row>
    <row r="55" spans="1:8">
      <c r="A55" s="37"/>
      <c r="B55" s="37"/>
      <c r="C55" s="37"/>
      <c r="D55" s="37"/>
      <c r="E55" s="37" t="s">
        <v>204</v>
      </c>
      <c r="F55" s="37"/>
      <c r="G55" s="37"/>
      <c r="H55" s="38">
        <f>ROUND(SUM(H50:H54),5)</f>
        <v>9826.74</v>
      </c>
    </row>
    <row r="56" spans="1:8" ht="26.45" customHeight="1">
      <c r="A56" s="37"/>
      <c r="B56" s="37"/>
      <c r="C56" s="37"/>
      <c r="D56" s="37"/>
      <c r="E56" s="37" t="s">
        <v>205</v>
      </c>
      <c r="F56" s="37"/>
      <c r="G56" s="37"/>
      <c r="H56" s="38">
        <v>1591.18</v>
      </c>
    </row>
    <row r="57" spans="1:8">
      <c r="A57" s="37"/>
      <c r="B57" s="37"/>
      <c r="C57" s="37"/>
      <c r="D57" s="37"/>
      <c r="E57" s="37" t="s">
        <v>206</v>
      </c>
      <c r="F57" s="37"/>
      <c r="G57" s="37"/>
      <c r="H57" s="38"/>
    </row>
    <row r="58" spans="1:8">
      <c r="A58" s="37"/>
      <c r="B58" s="37"/>
      <c r="C58" s="37"/>
      <c r="D58" s="37"/>
      <c r="E58" s="37"/>
      <c r="F58" s="37" t="s">
        <v>207</v>
      </c>
      <c r="G58" s="37"/>
      <c r="H58" s="38">
        <v>1480.05</v>
      </c>
    </row>
    <row r="59" spans="1:8">
      <c r="A59" s="37"/>
      <c r="B59" s="37"/>
      <c r="C59" s="37"/>
      <c r="D59" s="37"/>
      <c r="E59" s="37"/>
      <c r="F59" s="37" t="s">
        <v>208</v>
      </c>
      <c r="G59" s="37"/>
      <c r="H59" s="38">
        <v>924.24</v>
      </c>
    </row>
    <row r="60" spans="1:8">
      <c r="A60" s="37"/>
      <c r="B60" s="37"/>
      <c r="C60" s="37"/>
      <c r="D60" s="37"/>
      <c r="E60" s="37"/>
      <c r="F60" s="37" t="s">
        <v>209</v>
      </c>
      <c r="G60" s="37"/>
      <c r="H60" s="38">
        <v>4408.38</v>
      </c>
    </row>
    <row r="61" spans="1:8">
      <c r="A61" s="37"/>
      <c r="B61" s="37"/>
      <c r="C61" s="37"/>
      <c r="D61" s="37"/>
      <c r="E61" s="37"/>
      <c r="F61" s="37" t="s">
        <v>210</v>
      </c>
      <c r="G61" s="37"/>
      <c r="H61" s="38">
        <v>4482.28</v>
      </c>
    </row>
    <row r="62" spans="1:8">
      <c r="A62" s="37"/>
      <c r="B62" s="37"/>
      <c r="C62" s="37"/>
      <c r="D62" s="37"/>
      <c r="E62" s="37"/>
      <c r="F62" s="37" t="s">
        <v>211</v>
      </c>
      <c r="G62" s="37"/>
      <c r="H62" s="38"/>
    </row>
    <row r="63" spans="1:8">
      <c r="A63" s="37"/>
      <c r="B63" s="37"/>
      <c r="C63" s="37"/>
      <c r="D63" s="37"/>
      <c r="E63" s="37"/>
      <c r="F63" s="37"/>
      <c r="G63" s="37" t="s">
        <v>212</v>
      </c>
      <c r="H63" s="38">
        <v>241.78</v>
      </c>
    </row>
    <row r="64" spans="1:8" ht="13.5" thickBot="1">
      <c r="A64" s="37"/>
      <c r="B64" s="37"/>
      <c r="C64" s="37"/>
      <c r="D64" s="37"/>
      <c r="E64" s="37"/>
      <c r="F64" s="37"/>
      <c r="G64" s="37" t="s">
        <v>213</v>
      </c>
      <c r="H64" s="40">
        <v>1050</v>
      </c>
    </row>
    <row r="65" spans="1:8">
      <c r="A65" s="37"/>
      <c r="B65" s="37"/>
      <c r="C65" s="37"/>
      <c r="D65" s="37"/>
      <c r="E65" s="37"/>
      <c r="F65" s="37" t="s">
        <v>214</v>
      </c>
      <c r="G65" s="37"/>
      <c r="H65" s="38">
        <f>ROUND(SUM(H62:H64),5)</f>
        <v>1291.78</v>
      </c>
    </row>
    <row r="66" spans="1:8" ht="26.45" customHeight="1">
      <c r="A66" s="37"/>
      <c r="B66" s="37"/>
      <c r="C66" s="37"/>
      <c r="D66" s="37"/>
      <c r="E66" s="37"/>
      <c r="F66" s="37" t="s">
        <v>215</v>
      </c>
      <c r="G66" s="37"/>
      <c r="H66" s="38">
        <v>3197.36</v>
      </c>
    </row>
    <row r="67" spans="1:8">
      <c r="A67" s="37"/>
      <c r="B67" s="37"/>
      <c r="C67" s="37"/>
      <c r="D67" s="37"/>
      <c r="E67" s="37"/>
      <c r="F67" s="37" t="s">
        <v>216</v>
      </c>
      <c r="G67" s="37"/>
      <c r="H67" s="38">
        <v>453.36</v>
      </c>
    </row>
    <row r="68" spans="1:8" ht="13.5" thickBot="1">
      <c r="A68" s="37"/>
      <c r="B68" s="37"/>
      <c r="C68" s="37"/>
      <c r="D68" s="37"/>
      <c r="E68" s="37"/>
      <c r="F68" s="37" t="s">
        <v>217</v>
      </c>
      <c r="G68" s="37"/>
      <c r="H68" s="40">
        <v>498.58</v>
      </c>
    </row>
    <row r="69" spans="1:8">
      <c r="A69" s="37"/>
      <c r="B69" s="37"/>
      <c r="C69" s="37"/>
      <c r="D69" s="37"/>
      <c r="E69" s="37" t="s">
        <v>218</v>
      </c>
      <c r="F69" s="37"/>
      <c r="G69" s="37"/>
      <c r="H69" s="38">
        <f>ROUND(SUM(H57:H61)+SUM(H65:H68),5)</f>
        <v>16736.03</v>
      </c>
    </row>
    <row r="70" spans="1:8" ht="26.45" customHeight="1">
      <c r="A70" s="37"/>
      <c r="B70" s="37"/>
      <c r="C70" s="37"/>
      <c r="D70" s="37"/>
      <c r="E70" s="37" t="s">
        <v>219</v>
      </c>
      <c r="F70" s="37"/>
      <c r="G70" s="37"/>
      <c r="H70" s="38"/>
    </row>
    <row r="71" spans="1:8">
      <c r="A71" s="37"/>
      <c r="B71" s="37"/>
      <c r="C71" s="37"/>
      <c r="D71" s="37"/>
      <c r="E71" s="37"/>
      <c r="F71" s="37" t="s">
        <v>220</v>
      </c>
      <c r="G71" s="37"/>
      <c r="H71" s="38">
        <v>306.20999999999998</v>
      </c>
    </row>
    <row r="72" spans="1:8">
      <c r="A72" s="37"/>
      <c r="B72" s="37"/>
      <c r="C72" s="37"/>
      <c r="D72" s="37"/>
      <c r="E72" s="37"/>
      <c r="F72" s="37" t="s">
        <v>221</v>
      </c>
      <c r="G72" s="37"/>
      <c r="H72" s="38">
        <v>2880.86</v>
      </c>
    </row>
    <row r="73" spans="1:8">
      <c r="A73" s="37"/>
      <c r="B73" s="37"/>
      <c r="C73" s="37"/>
      <c r="D73" s="37"/>
      <c r="E73" s="37"/>
      <c r="F73" s="37" t="s">
        <v>222</v>
      </c>
      <c r="G73" s="37"/>
      <c r="H73" s="38">
        <v>2229.9899999999998</v>
      </c>
    </row>
    <row r="74" spans="1:8">
      <c r="A74" s="37"/>
      <c r="B74" s="37"/>
      <c r="C74" s="37"/>
      <c r="D74" s="37"/>
      <c r="E74" s="37"/>
      <c r="F74" s="37" t="s">
        <v>223</v>
      </c>
      <c r="G74" s="37"/>
      <c r="H74" s="38">
        <v>181.78</v>
      </c>
    </row>
    <row r="75" spans="1:8">
      <c r="A75" s="37"/>
      <c r="B75" s="37"/>
      <c r="C75" s="37"/>
      <c r="D75" s="37"/>
      <c r="E75" s="37"/>
      <c r="F75" s="37" t="s">
        <v>224</v>
      </c>
      <c r="G75" s="37"/>
      <c r="H75" s="38">
        <v>272</v>
      </c>
    </row>
    <row r="76" spans="1:8" ht="13.5" thickBot="1">
      <c r="A76" s="37"/>
      <c r="B76" s="37"/>
      <c r="C76" s="37"/>
      <c r="D76" s="37"/>
      <c r="E76" s="37"/>
      <c r="F76" s="37" t="s">
        <v>225</v>
      </c>
      <c r="G76" s="37"/>
      <c r="H76" s="40">
        <v>82</v>
      </c>
    </row>
    <row r="77" spans="1:8">
      <c r="A77" s="37"/>
      <c r="B77" s="37"/>
      <c r="C77" s="37"/>
      <c r="D77" s="37"/>
      <c r="E77" s="37" t="s">
        <v>226</v>
      </c>
      <c r="F77" s="37"/>
      <c r="G77" s="37"/>
      <c r="H77" s="38">
        <f>ROUND(SUM(H70:H76),5)</f>
        <v>5952.84</v>
      </c>
    </row>
    <row r="78" spans="1:8" ht="26.45" customHeight="1">
      <c r="A78" s="37"/>
      <c r="B78" s="37"/>
      <c r="C78" s="37"/>
      <c r="D78" s="37"/>
      <c r="E78" s="37" t="s">
        <v>227</v>
      </c>
      <c r="F78" s="37"/>
      <c r="G78" s="37"/>
      <c r="H78" s="38">
        <v>300</v>
      </c>
    </row>
    <row r="79" spans="1:8">
      <c r="A79" s="37"/>
      <c r="B79" s="37"/>
      <c r="C79" s="37"/>
      <c r="D79" s="37"/>
      <c r="E79" s="37" t="s">
        <v>228</v>
      </c>
      <c r="F79" s="37"/>
      <c r="G79" s="37"/>
      <c r="H79" s="38"/>
    </row>
    <row r="80" spans="1:8">
      <c r="A80" s="37"/>
      <c r="B80" s="37"/>
      <c r="C80" s="37"/>
      <c r="D80" s="37"/>
      <c r="E80" s="37"/>
      <c r="F80" s="37" t="s">
        <v>229</v>
      </c>
      <c r="G80" s="37"/>
      <c r="H80" s="38">
        <v>4771.16</v>
      </c>
    </row>
    <row r="81" spans="1:8">
      <c r="A81" s="37"/>
      <c r="B81" s="37"/>
      <c r="C81" s="37"/>
      <c r="D81" s="37"/>
      <c r="E81" s="37"/>
      <c r="F81" s="37" t="s">
        <v>230</v>
      </c>
      <c r="G81" s="37"/>
      <c r="H81" s="38">
        <v>677.95</v>
      </c>
    </row>
    <row r="82" spans="1:8">
      <c r="A82" s="37"/>
      <c r="B82" s="37"/>
      <c r="C82" s="37"/>
      <c r="D82" s="37"/>
      <c r="E82" s="37"/>
      <c r="F82" s="37" t="s">
        <v>231</v>
      </c>
      <c r="G82" s="37"/>
      <c r="H82" s="38">
        <v>549.79</v>
      </c>
    </row>
    <row r="83" spans="1:8">
      <c r="A83" s="37"/>
      <c r="B83" s="37"/>
      <c r="C83" s="37"/>
      <c r="D83" s="37"/>
      <c r="E83" s="37"/>
      <c r="F83" s="37" t="s">
        <v>232</v>
      </c>
      <c r="G83" s="37"/>
      <c r="H83" s="38">
        <v>656.5</v>
      </c>
    </row>
    <row r="84" spans="1:8">
      <c r="A84" s="37"/>
      <c r="B84" s="37"/>
      <c r="C84" s="37"/>
      <c r="D84" s="37"/>
      <c r="E84" s="37"/>
      <c r="F84" s="37" t="s">
        <v>233</v>
      </c>
      <c r="G84" s="37"/>
      <c r="H84" s="38">
        <v>82</v>
      </c>
    </row>
    <row r="85" spans="1:8" ht="13.5" thickBot="1">
      <c r="A85" s="37"/>
      <c r="B85" s="37"/>
      <c r="C85" s="37"/>
      <c r="D85" s="37"/>
      <c r="E85" s="37"/>
      <c r="F85" s="37" t="s">
        <v>234</v>
      </c>
      <c r="G85" s="37"/>
      <c r="H85" s="40">
        <v>109.95</v>
      </c>
    </row>
    <row r="86" spans="1:8">
      <c r="A86" s="37"/>
      <c r="B86" s="37"/>
      <c r="C86" s="37"/>
      <c r="D86" s="37"/>
      <c r="E86" s="37" t="s">
        <v>235</v>
      </c>
      <c r="F86" s="37"/>
      <c r="G86" s="37"/>
      <c r="H86" s="38">
        <f>ROUND(SUM(H79:H85),5)</f>
        <v>6847.35</v>
      </c>
    </row>
    <row r="87" spans="1:8" ht="26.45" customHeight="1">
      <c r="A87" s="37"/>
      <c r="B87" s="37"/>
      <c r="C87" s="37"/>
      <c r="D87" s="37"/>
      <c r="E87" s="37" t="s">
        <v>236</v>
      </c>
      <c r="F87" s="37"/>
      <c r="G87" s="37"/>
      <c r="H87" s="38"/>
    </row>
    <row r="88" spans="1:8">
      <c r="A88" s="37"/>
      <c r="B88" s="37"/>
      <c r="C88" s="37"/>
      <c r="D88" s="37"/>
      <c r="E88" s="37"/>
      <c r="F88" s="37" t="s">
        <v>237</v>
      </c>
      <c r="G88" s="37"/>
      <c r="H88" s="38">
        <v>-12131.09</v>
      </c>
    </row>
    <row r="89" spans="1:8">
      <c r="A89" s="37"/>
      <c r="B89" s="37"/>
      <c r="C89" s="37"/>
      <c r="D89" s="37"/>
      <c r="E89" s="37"/>
      <c r="F89" s="37" t="s">
        <v>238</v>
      </c>
      <c r="G89" s="37"/>
      <c r="H89" s="38"/>
    </row>
    <row r="90" spans="1:8">
      <c r="A90" s="37"/>
      <c r="B90" s="37"/>
      <c r="C90" s="37"/>
      <c r="D90" s="37"/>
      <c r="E90" s="37"/>
      <c r="F90" s="37"/>
      <c r="G90" s="37" t="s">
        <v>239</v>
      </c>
      <c r="H90" s="38">
        <v>12461.52</v>
      </c>
    </row>
    <row r="91" spans="1:8">
      <c r="A91" s="37"/>
      <c r="B91" s="37"/>
      <c r="C91" s="37"/>
      <c r="D91" s="37"/>
      <c r="E91" s="37"/>
      <c r="F91" s="37"/>
      <c r="G91" s="37" t="s">
        <v>240</v>
      </c>
      <c r="H91" s="38">
        <v>9692.2800000000007</v>
      </c>
    </row>
    <row r="92" spans="1:8" ht="13.5" thickBot="1">
      <c r="A92" s="37"/>
      <c r="B92" s="37"/>
      <c r="C92" s="37"/>
      <c r="D92" s="37"/>
      <c r="E92" s="37"/>
      <c r="F92" s="37"/>
      <c r="G92" s="37" t="s">
        <v>241</v>
      </c>
      <c r="H92" s="40">
        <v>9692.2800000000007</v>
      </c>
    </row>
    <row r="93" spans="1:8">
      <c r="A93" s="37"/>
      <c r="B93" s="37"/>
      <c r="C93" s="37"/>
      <c r="D93" s="37"/>
      <c r="E93" s="37"/>
      <c r="F93" s="37" t="s">
        <v>242</v>
      </c>
      <c r="G93" s="37"/>
      <c r="H93" s="38">
        <f>ROUND(SUM(H89:H92),5)</f>
        <v>31846.080000000002</v>
      </c>
    </row>
    <row r="94" spans="1:8">
      <c r="A94" s="37"/>
      <c r="B94" s="37"/>
      <c r="C94" s="37"/>
      <c r="D94" s="37"/>
      <c r="E94" s="37"/>
      <c r="F94" s="37" t="s">
        <v>243</v>
      </c>
      <c r="G94" s="37"/>
      <c r="H94" s="38">
        <v>-31846.080000000002</v>
      </c>
    </row>
    <row r="95" spans="1:8" ht="26.45" customHeight="1">
      <c r="A95" s="37"/>
      <c r="B95" s="37"/>
      <c r="C95" s="37"/>
      <c r="D95" s="37"/>
      <c r="E95" s="37"/>
      <c r="F95" s="37" t="s">
        <v>244</v>
      </c>
      <c r="G95" s="37"/>
      <c r="H95" s="38"/>
    </row>
    <row r="96" spans="1:8">
      <c r="A96" s="37"/>
      <c r="B96" s="37"/>
      <c r="C96" s="37"/>
      <c r="D96" s="37"/>
      <c r="E96" s="37"/>
      <c r="F96" s="37"/>
      <c r="G96" s="37" t="s">
        <v>245</v>
      </c>
      <c r="H96" s="38">
        <v>-1004.01</v>
      </c>
    </row>
    <row r="97" spans="1:8" ht="13.5" thickBot="1">
      <c r="A97" s="37"/>
      <c r="B97" s="37"/>
      <c r="C97" s="37"/>
      <c r="D97" s="37"/>
      <c r="E97" s="37"/>
      <c r="F97" s="37"/>
      <c r="G97" s="37" t="s">
        <v>246</v>
      </c>
      <c r="H97" s="40">
        <v>5046.54</v>
      </c>
    </row>
    <row r="98" spans="1:8">
      <c r="A98" s="37"/>
      <c r="B98" s="37"/>
      <c r="C98" s="37"/>
      <c r="D98" s="37"/>
      <c r="E98" s="37"/>
      <c r="F98" s="37" t="s">
        <v>247</v>
      </c>
      <c r="G98" s="37"/>
      <c r="H98" s="38">
        <f>ROUND(SUM(H95:H97),5)</f>
        <v>4042.53</v>
      </c>
    </row>
    <row r="99" spans="1:8" ht="26.45" customHeight="1">
      <c r="A99" s="37"/>
      <c r="B99" s="37"/>
      <c r="C99" s="37"/>
      <c r="D99" s="37"/>
      <c r="E99" s="37"/>
      <c r="F99" s="37" t="s">
        <v>248</v>
      </c>
      <c r="G99" s="37"/>
      <c r="H99" s="38">
        <v>58442.48</v>
      </c>
    </row>
    <row r="100" spans="1:8">
      <c r="A100" s="37"/>
      <c r="B100" s="37"/>
      <c r="C100" s="37"/>
      <c r="D100" s="37"/>
      <c r="E100" s="37"/>
      <c r="F100" s="37" t="s">
        <v>249</v>
      </c>
      <c r="G100" s="37"/>
      <c r="H100" s="38">
        <v>1099.8</v>
      </c>
    </row>
    <row r="101" spans="1:8">
      <c r="A101" s="37"/>
      <c r="B101" s="37"/>
      <c r="C101" s="37"/>
      <c r="D101" s="37"/>
      <c r="E101" s="37"/>
      <c r="F101" s="37" t="s">
        <v>250</v>
      </c>
      <c r="G101" s="37"/>
      <c r="H101" s="38"/>
    </row>
    <row r="102" spans="1:8">
      <c r="A102" s="37"/>
      <c r="B102" s="37"/>
      <c r="C102" s="37"/>
      <c r="D102" s="37"/>
      <c r="E102" s="37"/>
      <c r="F102" s="37"/>
      <c r="G102" s="37" t="s">
        <v>251</v>
      </c>
      <c r="H102" s="38">
        <v>-3442.14</v>
      </c>
    </row>
    <row r="103" spans="1:8" ht="13.5" thickBot="1">
      <c r="A103" s="37"/>
      <c r="B103" s="37"/>
      <c r="C103" s="37"/>
      <c r="D103" s="37"/>
      <c r="E103" s="37"/>
      <c r="F103" s="37"/>
      <c r="G103" s="37" t="s">
        <v>252</v>
      </c>
      <c r="H103" s="40">
        <v>9919.51</v>
      </c>
    </row>
    <row r="104" spans="1:8">
      <c r="A104" s="37"/>
      <c r="B104" s="37"/>
      <c r="C104" s="37"/>
      <c r="D104" s="37"/>
      <c r="E104" s="37"/>
      <c r="F104" s="37" t="s">
        <v>253</v>
      </c>
      <c r="G104" s="37"/>
      <c r="H104" s="38">
        <f>ROUND(SUM(H101:H103),5)</f>
        <v>6477.37</v>
      </c>
    </row>
    <row r="105" spans="1:8" ht="26.45" customHeight="1" thickBot="1">
      <c r="A105" s="37"/>
      <c r="B105" s="37"/>
      <c r="C105" s="37"/>
      <c r="D105" s="37"/>
      <c r="E105" s="37"/>
      <c r="F105" s="37" t="s">
        <v>254</v>
      </c>
      <c r="G105" s="37"/>
      <c r="H105" s="40">
        <v>88.38</v>
      </c>
    </row>
    <row r="106" spans="1:8">
      <c r="A106" s="37"/>
      <c r="B106" s="37"/>
      <c r="C106" s="37"/>
      <c r="D106" s="37"/>
      <c r="E106" s="37" t="s">
        <v>255</v>
      </c>
      <c r="F106" s="37"/>
      <c r="G106" s="37"/>
      <c r="H106" s="38">
        <f>ROUND(SUM(H87:H88)+H93+SUM(H98:H100)+SUM(H104:H105),5)</f>
        <v>89865.55</v>
      </c>
    </row>
    <row r="107" spans="1:8" ht="26.45" customHeight="1">
      <c r="A107" s="37"/>
      <c r="B107" s="37"/>
      <c r="C107" s="37"/>
      <c r="D107" s="37"/>
      <c r="E107" s="37" t="s">
        <v>256</v>
      </c>
      <c r="F107" s="37"/>
      <c r="G107" s="37"/>
      <c r="H107" s="38">
        <v>14322</v>
      </c>
    </row>
    <row r="108" spans="1:8">
      <c r="A108" s="37"/>
      <c r="B108" s="37"/>
      <c r="C108" s="37"/>
      <c r="D108" s="37"/>
      <c r="E108" s="37" t="s">
        <v>257</v>
      </c>
      <c r="F108" s="37"/>
      <c r="G108" s="37"/>
      <c r="H108" s="38">
        <v>-14322</v>
      </c>
    </row>
    <row r="109" spans="1:8">
      <c r="A109" s="37"/>
      <c r="B109" s="37"/>
      <c r="C109" s="37"/>
      <c r="D109" s="37"/>
      <c r="E109" s="37" t="s">
        <v>258</v>
      </c>
      <c r="F109" s="37"/>
      <c r="G109" s="37"/>
      <c r="H109" s="38">
        <v>1595.05</v>
      </c>
    </row>
    <row r="110" spans="1:8">
      <c r="A110" s="37"/>
      <c r="B110" s="37"/>
      <c r="C110" s="37"/>
      <c r="D110" s="37"/>
      <c r="E110" s="37" t="s">
        <v>259</v>
      </c>
      <c r="F110" s="37"/>
      <c r="G110" s="37"/>
      <c r="H110" s="38">
        <v>-1595.05</v>
      </c>
    </row>
    <row r="111" spans="1:8">
      <c r="A111" s="37"/>
      <c r="B111" s="37"/>
      <c r="C111" s="37"/>
      <c r="D111" s="37"/>
      <c r="E111" s="37" t="s">
        <v>260</v>
      </c>
      <c r="F111" s="37"/>
      <c r="G111" s="37"/>
      <c r="H111" s="38"/>
    </row>
    <row r="112" spans="1:8">
      <c r="A112" s="37"/>
      <c r="B112" s="37"/>
      <c r="C112" s="37"/>
      <c r="D112" s="37"/>
      <c r="E112" s="37"/>
      <c r="F112" s="37" t="s">
        <v>261</v>
      </c>
      <c r="G112" s="37"/>
      <c r="H112" s="38">
        <v>902</v>
      </c>
    </row>
    <row r="113" spans="1:8" ht="13.5" thickBot="1">
      <c r="A113" s="37"/>
      <c r="B113" s="37"/>
      <c r="C113" s="37"/>
      <c r="D113" s="37"/>
      <c r="E113" s="37"/>
      <c r="F113" s="37" t="s">
        <v>262</v>
      </c>
      <c r="G113" s="37"/>
      <c r="H113" s="40">
        <v>19.55</v>
      </c>
    </row>
    <row r="114" spans="1:8">
      <c r="A114" s="37"/>
      <c r="B114" s="37"/>
      <c r="C114" s="37"/>
      <c r="D114" s="37"/>
      <c r="E114" s="37" t="s">
        <v>263</v>
      </c>
      <c r="F114" s="37"/>
      <c r="G114" s="37"/>
      <c r="H114" s="38">
        <f>ROUND(SUM(H111:H113),5)</f>
        <v>921.55</v>
      </c>
    </row>
    <row r="115" spans="1:8" ht="26.45" customHeight="1">
      <c r="A115" s="37"/>
      <c r="B115" s="37"/>
      <c r="C115" s="37"/>
      <c r="D115" s="37"/>
      <c r="E115" s="37" t="s">
        <v>264</v>
      </c>
      <c r="F115" s="37"/>
      <c r="G115" s="37"/>
      <c r="H115" s="38"/>
    </row>
    <row r="116" spans="1:8">
      <c r="A116" s="37"/>
      <c r="B116" s="37"/>
      <c r="C116" s="37"/>
      <c r="D116" s="37"/>
      <c r="E116" s="37"/>
      <c r="F116" s="37" t="s">
        <v>265</v>
      </c>
      <c r="G116" s="37"/>
      <c r="H116" s="38">
        <v>7067.89</v>
      </c>
    </row>
    <row r="117" spans="1:8">
      <c r="A117" s="37"/>
      <c r="B117" s="37"/>
      <c r="C117" s="37"/>
      <c r="D117" s="37"/>
      <c r="E117" s="37"/>
      <c r="F117" s="37" t="s">
        <v>266</v>
      </c>
      <c r="G117" s="37"/>
      <c r="H117" s="38">
        <v>19436.34</v>
      </c>
    </row>
    <row r="118" spans="1:8" ht="13.5" thickBot="1">
      <c r="A118" s="37"/>
      <c r="B118" s="37"/>
      <c r="C118" s="37"/>
      <c r="D118" s="37"/>
      <c r="E118" s="37"/>
      <c r="F118" s="37" t="s">
        <v>267</v>
      </c>
      <c r="G118" s="37"/>
      <c r="H118" s="40">
        <v>5200</v>
      </c>
    </row>
    <row r="119" spans="1:8">
      <c r="A119" s="37"/>
      <c r="B119" s="37"/>
      <c r="C119" s="37"/>
      <c r="D119" s="37"/>
      <c r="E119" s="37" t="s">
        <v>268</v>
      </c>
      <c r="F119" s="37"/>
      <c r="G119" s="37"/>
      <c r="H119" s="38">
        <f>ROUND(SUM(H115:H118),5)</f>
        <v>31704.23</v>
      </c>
    </row>
    <row r="120" spans="1:8" ht="26.45" customHeight="1">
      <c r="A120" s="37"/>
      <c r="B120" s="37"/>
      <c r="C120" s="37"/>
      <c r="D120" s="37"/>
      <c r="E120" s="37" t="s">
        <v>269</v>
      </c>
      <c r="F120" s="37"/>
      <c r="G120" s="37"/>
      <c r="H120" s="38">
        <v>-7067.89</v>
      </c>
    </row>
    <row r="121" spans="1:8">
      <c r="A121" s="37"/>
      <c r="B121" s="37"/>
      <c r="C121" s="37"/>
      <c r="D121" s="37"/>
      <c r="E121" s="37" t="s">
        <v>270</v>
      </c>
      <c r="F121" s="37"/>
      <c r="G121" s="37"/>
      <c r="H121" s="38"/>
    </row>
    <row r="122" spans="1:8">
      <c r="A122" s="37"/>
      <c r="B122" s="37"/>
      <c r="C122" s="37"/>
      <c r="D122" s="37"/>
      <c r="E122" s="37"/>
      <c r="F122" s="37" t="s">
        <v>271</v>
      </c>
      <c r="G122" s="37"/>
      <c r="H122" s="38">
        <v>300</v>
      </c>
    </row>
    <row r="123" spans="1:8" ht="13.5" thickBot="1">
      <c r="A123" s="37"/>
      <c r="B123" s="37"/>
      <c r="C123" s="37"/>
      <c r="D123" s="37"/>
      <c r="E123" s="37"/>
      <c r="F123" s="37" t="s">
        <v>272</v>
      </c>
      <c r="G123" s="37"/>
      <c r="H123" s="40">
        <v>2050</v>
      </c>
    </row>
    <row r="124" spans="1:8">
      <c r="A124" s="37"/>
      <c r="B124" s="37"/>
      <c r="C124" s="37"/>
      <c r="D124" s="37"/>
      <c r="E124" s="37" t="s">
        <v>273</v>
      </c>
      <c r="F124" s="37"/>
      <c r="G124" s="37"/>
      <c r="H124" s="38">
        <f>ROUND(SUM(H121:H123),5)</f>
        <v>2350</v>
      </c>
    </row>
    <row r="125" spans="1:8" ht="26.45" customHeight="1">
      <c r="A125" s="37"/>
      <c r="B125" s="37"/>
      <c r="C125" s="37"/>
      <c r="D125" s="37"/>
      <c r="E125" s="37" t="s">
        <v>274</v>
      </c>
      <c r="F125" s="37"/>
      <c r="G125" s="37"/>
      <c r="H125" s="38">
        <v>318.39999999999998</v>
      </c>
    </row>
    <row r="126" spans="1:8">
      <c r="A126" s="37"/>
      <c r="B126" s="37"/>
      <c r="C126" s="37"/>
      <c r="D126" s="37"/>
      <c r="E126" s="37" t="s">
        <v>275</v>
      </c>
      <c r="F126" s="37"/>
      <c r="G126" s="37"/>
      <c r="H126" s="38"/>
    </row>
    <row r="127" spans="1:8">
      <c r="A127" s="37"/>
      <c r="B127" s="37"/>
      <c r="C127" s="37"/>
      <c r="D127" s="37"/>
      <c r="E127" s="37"/>
      <c r="F127" s="37" t="s">
        <v>276</v>
      </c>
      <c r="G127" s="37"/>
      <c r="H127" s="38">
        <v>4265.3</v>
      </c>
    </row>
    <row r="128" spans="1:8">
      <c r="A128" s="37"/>
      <c r="B128" s="37"/>
      <c r="C128" s="37"/>
      <c r="D128" s="37"/>
      <c r="E128" s="37"/>
      <c r="F128" s="37" t="s">
        <v>277</v>
      </c>
      <c r="G128" s="37"/>
      <c r="H128" s="38">
        <v>2439.25</v>
      </c>
    </row>
    <row r="129" spans="1:8" ht="13.5" thickBot="1">
      <c r="A129" s="37"/>
      <c r="B129" s="37"/>
      <c r="C129" s="37"/>
      <c r="D129" s="37"/>
      <c r="E129" s="37"/>
      <c r="F129" s="37" t="s">
        <v>278</v>
      </c>
      <c r="G129" s="37"/>
      <c r="H129" s="40">
        <v>400</v>
      </c>
    </row>
    <row r="130" spans="1:8">
      <c r="A130" s="37"/>
      <c r="B130" s="37"/>
      <c r="C130" s="37"/>
      <c r="D130" s="37"/>
      <c r="E130" s="37" t="s">
        <v>279</v>
      </c>
      <c r="F130" s="37"/>
      <c r="G130" s="37"/>
      <c r="H130" s="38">
        <f>ROUND(SUM(H126:H129),5)</f>
        <v>7104.55</v>
      </c>
    </row>
    <row r="131" spans="1:8" ht="26.45" customHeight="1">
      <c r="A131" s="37"/>
      <c r="B131" s="37"/>
      <c r="C131" s="37"/>
      <c r="D131" s="37"/>
      <c r="E131" s="37" t="s">
        <v>280</v>
      </c>
      <c r="F131" s="37"/>
      <c r="G131" s="37"/>
      <c r="H131" s="38"/>
    </row>
    <row r="132" spans="1:8">
      <c r="A132" s="37"/>
      <c r="B132" s="37"/>
      <c r="C132" s="37"/>
      <c r="D132" s="37"/>
      <c r="E132" s="37"/>
      <c r="F132" s="37" t="s">
        <v>281</v>
      </c>
      <c r="G132" s="37"/>
      <c r="H132" s="38">
        <v>1200</v>
      </c>
    </row>
    <row r="133" spans="1:8">
      <c r="A133" s="37"/>
      <c r="B133" s="37"/>
      <c r="C133" s="37"/>
      <c r="D133" s="37"/>
      <c r="E133" s="37"/>
      <c r="F133" s="37" t="s">
        <v>282</v>
      </c>
      <c r="G133" s="37"/>
      <c r="H133" s="38">
        <v>842.73</v>
      </c>
    </row>
    <row r="134" spans="1:8">
      <c r="A134" s="37"/>
      <c r="B134" s="37"/>
      <c r="C134" s="37"/>
      <c r="D134" s="37"/>
      <c r="E134" s="37"/>
      <c r="F134" s="37" t="s">
        <v>283</v>
      </c>
      <c r="G134" s="37"/>
      <c r="H134" s="38">
        <v>689.3</v>
      </c>
    </row>
    <row r="135" spans="1:8" ht="13.5" thickBot="1">
      <c r="A135" s="37"/>
      <c r="B135" s="37"/>
      <c r="C135" s="37"/>
      <c r="D135" s="37"/>
      <c r="E135" s="37"/>
      <c r="F135" s="37" t="s">
        <v>284</v>
      </c>
      <c r="G135" s="37"/>
      <c r="H135" s="40">
        <v>83.98</v>
      </c>
    </row>
    <row r="136" spans="1:8">
      <c r="A136" s="37"/>
      <c r="B136" s="37"/>
      <c r="C136" s="37"/>
      <c r="D136" s="37"/>
      <c r="E136" s="37" t="s">
        <v>285</v>
      </c>
      <c r="F136" s="37"/>
      <c r="G136" s="37"/>
      <c r="H136" s="38">
        <f>ROUND(SUM(H131:H135),5)</f>
        <v>2816.01</v>
      </c>
    </row>
    <row r="137" spans="1:8" ht="26.45" customHeight="1">
      <c r="A137" s="37"/>
      <c r="B137" s="37"/>
      <c r="C137" s="37"/>
      <c r="D137" s="37"/>
      <c r="E137" s="37" t="s">
        <v>286</v>
      </c>
      <c r="F137" s="37"/>
      <c r="G137" s="37"/>
      <c r="H137" s="38"/>
    </row>
    <row r="138" spans="1:8">
      <c r="A138" s="37"/>
      <c r="B138" s="37"/>
      <c r="C138" s="37"/>
      <c r="D138" s="37"/>
      <c r="E138" s="37"/>
      <c r="F138" s="37" t="s">
        <v>287</v>
      </c>
      <c r="G138" s="37"/>
      <c r="H138" s="38">
        <v>-4534.07</v>
      </c>
    </row>
    <row r="139" spans="1:8" ht="13.5" thickBot="1">
      <c r="A139" s="37"/>
      <c r="B139" s="37"/>
      <c r="C139" s="37"/>
      <c r="D139" s="37"/>
      <c r="E139" s="37"/>
      <c r="F139" s="37" t="s">
        <v>288</v>
      </c>
      <c r="G139" s="37"/>
      <c r="H139" s="40">
        <v>1505.14</v>
      </c>
    </row>
    <row r="140" spans="1:8">
      <c r="A140" s="37"/>
      <c r="B140" s="37"/>
      <c r="C140" s="37"/>
      <c r="D140" s="37"/>
      <c r="E140" s="37" t="s">
        <v>289</v>
      </c>
      <c r="F140" s="37"/>
      <c r="G140" s="37"/>
      <c r="H140" s="38">
        <f>ROUND(SUM(H137:H139),5)</f>
        <v>-3028.93</v>
      </c>
    </row>
    <row r="141" spans="1:8" ht="26.45" customHeight="1">
      <c r="A141" s="37"/>
      <c r="B141" s="37"/>
      <c r="C141" s="37"/>
      <c r="D141" s="37"/>
      <c r="E141" s="37" t="s">
        <v>290</v>
      </c>
      <c r="F141" s="37"/>
      <c r="G141" s="37"/>
      <c r="H141" s="38">
        <v>3508.12</v>
      </c>
    </row>
    <row r="142" spans="1:8">
      <c r="A142" s="37"/>
      <c r="B142" s="37"/>
      <c r="C142" s="37"/>
      <c r="D142" s="37"/>
      <c r="E142" s="37" t="s">
        <v>291</v>
      </c>
      <c r="F142" s="37"/>
      <c r="G142" s="37"/>
      <c r="H142" s="38"/>
    </row>
    <row r="143" spans="1:8">
      <c r="A143" s="37"/>
      <c r="B143" s="37"/>
      <c r="C143" s="37"/>
      <c r="D143" s="37"/>
      <c r="E143" s="37"/>
      <c r="F143" s="37" t="s">
        <v>292</v>
      </c>
      <c r="G143" s="37"/>
      <c r="H143" s="38">
        <v>365.73</v>
      </c>
    </row>
    <row r="144" spans="1:8">
      <c r="A144" s="37"/>
      <c r="B144" s="37"/>
      <c r="C144" s="37"/>
      <c r="D144" s="37"/>
      <c r="E144" s="37"/>
      <c r="F144" s="37" t="s">
        <v>293</v>
      </c>
      <c r="G144" s="37"/>
      <c r="H144" s="38">
        <v>3394.44</v>
      </c>
    </row>
    <row r="145" spans="1:8" ht="13.5" thickBot="1">
      <c r="A145" s="37"/>
      <c r="B145" s="37"/>
      <c r="C145" s="37"/>
      <c r="D145" s="37"/>
      <c r="E145" s="37"/>
      <c r="F145" s="37" t="s">
        <v>294</v>
      </c>
      <c r="G145" s="37"/>
      <c r="H145" s="40">
        <v>497.28</v>
      </c>
    </row>
    <row r="146" spans="1:8">
      <c r="A146" s="37"/>
      <c r="B146" s="37"/>
      <c r="C146" s="37"/>
      <c r="D146" s="37"/>
      <c r="E146" s="37" t="s">
        <v>295</v>
      </c>
      <c r="F146" s="37"/>
      <c r="G146" s="37"/>
      <c r="H146" s="38">
        <f>ROUND(SUM(H142:H145),5)</f>
        <v>4257.45</v>
      </c>
    </row>
    <row r="147" spans="1:8" ht="26.45" customHeight="1">
      <c r="A147" s="37"/>
      <c r="B147" s="37"/>
      <c r="C147" s="37"/>
      <c r="D147" s="37"/>
      <c r="E147" s="37" t="s">
        <v>296</v>
      </c>
      <c r="F147" s="37"/>
      <c r="G147" s="37"/>
      <c r="H147" s="38">
        <v>-3335.83</v>
      </c>
    </row>
    <row r="148" spans="1:8">
      <c r="A148" s="37"/>
      <c r="B148" s="37"/>
      <c r="C148" s="37"/>
      <c r="D148" s="37"/>
      <c r="E148" s="37" t="s">
        <v>297</v>
      </c>
      <c r="F148" s="37"/>
      <c r="G148" s="37"/>
      <c r="H148" s="38"/>
    </row>
    <row r="149" spans="1:8">
      <c r="A149" s="37"/>
      <c r="B149" s="37"/>
      <c r="C149" s="37"/>
      <c r="D149" s="37"/>
      <c r="E149" s="37"/>
      <c r="F149" s="37" t="s">
        <v>298</v>
      </c>
      <c r="G149" s="37"/>
      <c r="H149" s="38">
        <v>166.15</v>
      </c>
    </row>
    <row r="150" spans="1:8">
      <c r="A150" s="37"/>
      <c r="B150" s="37"/>
      <c r="C150" s="37"/>
      <c r="D150" s="37"/>
      <c r="E150" s="37"/>
      <c r="F150" s="37" t="s">
        <v>299</v>
      </c>
      <c r="G150" s="37"/>
      <c r="H150" s="38">
        <v>1388.15</v>
      </c>
    </row>
    <row r="151" spans="1:8">
      <c r="A151" s="37"/>
      <c r="B151" s="37"/>
      <c r="C151" s="37"/>
      <c r="D151" s="37"/>
      <c r="E151" s="37"/>
      <c r="F151" s="37" t="s">
        <v>300</v>
      </c>
      <c r="G151" s="37"/>
      <c r="H151" s="38">
        <v>419.11</v>
      </c>
    </row>
    <row r="152" spans="1:8">
      <c r="A152" s="37"/>
      <c r="B152" s="37"/>
      <c r="C152" s="37"/>
      <c r="D152" s="37"/>
      <c r="E152" s="37"/>
      <c r="F152" s="37" t="s">
        <v>301</v>
      </c>
      <c r="G152" s="37"/>
      <c r="H152" s="38">
        <v>310</v>
      </c>
    </row>
    <row r="153" spans="1:8" ht="13.5" thickBot="1">
      <c r="A153" s="37"/>
      <c r="B153" s="37"/>
      <c r="C153" s="37"/>
      <c r="D153" s="37"/>
      <c r="E153" s="37"/>
      <c r="F153" s="37" t="s">
        <v>302</v>
      </c>
      <c r="G153" s="37"/>
      <c r="H153" s="40">
        <v>1304.03</v>
      </c>
    </row>
    <row r="154" spans="1:8">
      <c r="A154" s="37"/>
      <c r="B154" s="37"/>
      <c r="C154" s="37"/>
      <c r="D154" s="37"/>
      <c r="E154" s="37" t="s">
        <v>303</v>
      </c>
      <c r="F154" s="37"/>
      <c r="G154" s="37"/>
      <c r="H154" s="38">
        <f>ROUND(SUM(H148:H153),5)</f>
        <v>3587.44</v>
      </c>
    </row>
    <row r="155" spans="1:8" ht="26.45" customHeight="1">
      <c r="A155" s="37"/>
      <c r="B155" s="37"/>
      <c r="C155" s="37"/>
      <c r="D155" s="37"/>
      <c r="E155" s="37" t="s">
        <v>304</v>
      </c>
      <c r="F155" s="37"/>
      <c r="G155" s="37"/>
      <c r="H155" s="38">
        <v>-2625.52</v>
      </c>
    </row>
    <row r="156" spans="1:8">
      <c r="A156" s="37"/>
      <c r="B156" s="37"/>
      <c r="C156" s="37"/>
      <c r="D156" s="37"/>
      <c r="E156" s="37" t="s">
        <v>305</v>
      </c>
      <c r="F156" s="37"/>
      <c r="G156" s="37"/>
      <c r="H156" s="38"/>
    </row>
    <row r="157" spans="1:8">
      <c r="A157" s="37"/>
      <c r="B157" s="37"/>
      <c r="C157" s="37"/>
      <c r="D157" s="37"/>
      <c r="E157" s="37"/>
      <c r="F157" s="37" t="s">
        <v>306</v>
      </c>
      <c r="G157" s="37"/>
      <c r="H157" s="38"/>
    </row>
    <row r="158" spans="1:8" s="42" customFormat="1" ht="11.25">
      <c r="A158" s="37"/>
      <c r="B158" s="37"/>
      <c r="C158" s="37"/>
      <c r="D158" s="37"/>
      <c r="E158" s="37"/>
      <c r="F158" s="37"/>
      <c r="G158" s="37" t="s">
        <v>307</v>
      </c>
      <c r="H158" s="38">
        <v>11908.4</v>
      </c>
    </row>
    <row r="159" spans="1:8">
      <c r="A159" s="37"/>
      <c r="B159" s="37"/>
      <c r="C159" s="37"/>
      <c r="D159" s="37"/>
      <c r="E159" s="37"/>
      <c r="F159" s="37"/>
      <c r="G159" s="37" t="s">
        <v>308</v>
      </c>
      <c r="H159" s="38">
        <v>3321.26</v>
      </c>
    </row>
    <row r="160" spans="1:8">
      <c r="A160" s="37"/>
      <c r="B160" s="37"/>
      <c r="C160" s="37"/>
      <c r="D160" s="37"/>
      <c r="E160" s="37"/>
      <c r="F160" s="37"/>
      <c r="G160" s="37" t="s">
        <v>309</v>
      </c>
      <c r="H160" s="38">
        <v>14092</v>
      </c>
    </row>
    <row r="161" spans="1:8">
      <c r="A161" s="37"/>
      <c r="B161" s="37"/>
      <c r="C161" s="37"/>
      <c r="D161" s="37"/>
      <c r="E161" s="37"/>
      <c r="F161" s="37"/>
      <c r="G161" s="37" t="s">
        <v>310</v>
      </c>
      <c r="H161" s="38">
        <v>682</v>
      </c>
    </row>
    <row r="162" spans="1:8">
      <c r="A162" s="37"/>
      <c r="B162" s="37"/>
      <c r="C162" s="37"/>
      <c r="D162" s="37"/>
      <c r="E162" s="37"/>
      <c r="F162" s="37"/>
      <c r="G162" s="37" t="s">
        <v>311</v>
      </c>
      <c r="H162" s="38">
        <v>6917.26</v>
      </c>
    </row>
    <row r="163" spans="1:8" ht="13.5" thickBot="1">
      <c r="A163" s="37"/>
      <c r="B163" s="37"/>
      <c r="C163" s="37"/>
      <c r="D163" s="37"/>
      <c r="E163" s="37"/>
      <c r="F163" s="37"/>
      <c r="G163" s="37" t="s">
        <v>312</v>
      </c>
      <c r="H163" s="40">
        <v>1158.96</v>
      </c>
    </row>
    <row r="164" spans="1:8" ht="13.5" thickBot="1">
      <c r="A164" s="37"/>
      <c r="B164" s="37"/>
      <c r="C164" s="37"/>
      <c r="D164" s="37"/>
      <c r="E164" s="37"/>
      <c r="F164" s="37" t="s">
        <v>313</v>
      </c>
      <c r="G164" s="37"/>
      <c r="H164" s="41">
        <f>ROUND(SUM(H157:H163),5)</f>
        <v>38079.879999999997</v>
      </c>
    </row>
    <row r="165" spans="1:8" ht="26.45" customHeight="1">
      <c r="A165" s="37"/>
      <c r="B165" s="37"/>
      <c r="C165" s="37"/>
      <c r="D165" s="37"/>
      <c r="E165" s="37" t="s">
        <v>314</v>
      </c>
      <c r="F165" s="37"/>
      <c r="G165" s="37"/>
      <c r="H165" s="38">
        <f>ROUND(H156+H164,5)</f>
        <v>38079.879999999997</v>
      </c>
    </row>
    <row r="166" spans="1:8" ht="26.45" customHeight="1">
      <c r="A166" s="37"/>
      <c r="B166" s="37"/>
      <c r="C166" s="37"/>
      <c r="D166" s="37"/>
      <c r="E166" s="37" t="s">
        <v>315</v>
      </c>
      <c r="F166" s="37"/>
      <c r="G166" s="37"/>
      <c r="H166" s="38">
        <v>-38079.879999999997</v>
      </c>
    </row>
    <row r="167" spans="1:8">
      <c r="A167" s="37"/>
      <c r="B167" s="37"/>
      <c r="C167" s="37"/>
      <c r="D167" s="37"/>
      <c r="E167" s="37" t="s">
        <v>316</v>
      </c>
      <c r="F167" s="37"/>
      <c r="G167" s="37"/>
      <c r="H167" s="38"/>
    </row>
    <row r="168" spans="1:8">
      <c r="A168" s="37"/>
      <c r="B168" s="37"/>
      <c r="C168" s="37"/>
      <c r="D168" s="37"/>
      <c r="E168" s="37"/>
      <c r="F168" s="37" t="s">
        <v>317</v>
      </c>
      <c r="G168" s="37"/>
      <c r="H168" s="38">
        <v>157.13999999999999</v>
      </c>
    </row>
    <row r="169" spans="1:8" ht="13.5" thickBot="1">
      <c r="A169" s="37"/>
      <c r="B169" s="37"/>
      <c r="C169" s="37"/>
      <c r="D169" s="37"/>
      <c r="E169" s="37"/>
      <c r="F169" s="37" t="s">
        <v>318</v>
      </c>
      <c r="G169" s="37"/>
      <c r="H169" s="40">
        <v>3671.94</v>
      </c>
    </row>
    <row r="170" spans="1:8">
      <c r="A170" s="37"/>
      <c r="B170" s="37"/>
      <c r="C170" s="37"/>
      <c r="D170" s="37"/>
      <c r="E170" s="37" t="s">
        <v>319</v>
      </c>
      <c r="F170" s="37"/>
      <c r="G170" s="37"/>
      <c r="H170" s="38">
        <f>ROUND(SUM(H167:H169),5)</f>
        <v>3829.08</v>
      </c>
    </row>
    <row r="171" spans="1:8" ht="26.45" customHeight="1">
      <c r="A171" s="37"/>
      <c r="B171" s="37"/>
      <c r="C171" s="37"/>
      <c r="D171" s="37"/>
      <c r="E171" s="37" t="s">
        <v>320</v>
      </c>
      <c r="F171" s="37"/>
      <c r="G171" s="37"/>
      <c r="H171" s="38"/>
    </row>
    <row r="172" spans="1:8">
      <c r="A172" s="37"/>
      <c r="B172" s="37"/>
      <c r="C172" s="37"/>
      <c r="D172" s="37"/>
      <c r="E172" s="37"/>
      <c r="F172" s="37" t="s">
        <v>321</v>
      </c>
      <c r="G172" s="37"/>
      <c r="H172" s="38">
        <v>1350</v>
      </c>
    </row>
    <row r="173" spans="1:8">
      <c r="A173" s="37"/>
      <c r="B173" s="37"/>
      <c r="C173" s="37"/>
      <c r="D173" s="37"/>
      <c r="E173" s="37"/>
      <c r="F173" s="37" t="s">
        <v>322</v>
      </c>
      <c r="G173" s="37"/>
      <c r="H173" s="38">
        <v>337.12</v>
      </c>
    </row>
    <row r="174" spans="1:8" ht="13.5" thickBot="1">
      <c r="A174" s="37"/>
      <c r="B174" s="37"/>
      <c r="C174" s="37"/>
      <c r="D174" s="37"/>
      <c r="E174" s="37"/>
      <c r="F174" s="37" t="s">
        <v>323</v>
      </c>
      <c r="G174" s="37"/>
      <c r="H174" s="40">
        <v>170.25</v>
      </c>
    </row>
    <row r="175" spans="1:8">
      <c r="A175" s="37"/>
      <c r="B175" s="37"/>
      <c r="C175" s="37"/>
      <c r="D175" s="37"/>
      <c r="E175" s="37" t="s">
        <v>324</v>
      </c>
      <c r="F175" s="37"/>
      <c r="G175" s="37"/>
      <c r="H175" s="38">
        <f>ROUND(SUM(H171:H174),5)</f>
        <v>1857.37</v>
      </c>
    </row>
    <row r="176" spans="1:8" ht="26.45" customHeight="1">
      <c r="A176" s="37"/>
      <c r="B176" s="37"/>
      <c r="C176" s="37"/>
      <c r="D176" s="37"/>
      <c r="E176" s="37" t="s">
        <v>325</v>
      </c>
      <c r="F176" s="37"/>
      <c r="G176" s="37"/>
      <c r="H176" s="38"/>
    </row>
    <row r="177" spans="1:8">
      <c r="A177" s="37"/>
      <c r="B177" s="37"/>
      <c r="C177" s="37"/>
      <c r="D177" s="37"/>
      <c r="E177" s="37"/>
      <c r="F177" s="37" t="s">
        <v>326</v>
      </c>
      <c r="G177" s="37"/>
      <c r="H177" s="38">
        <v>16151.27</v>
      </c>
    </row>
    <row r="178" spans="1:8">
      <c r="A178" s="37"/>
      <c r="B178" s="37"/>
      <c r="C178" s="37"/>
      <c r="D178" s="37"/>
      <c r="E178" s="37"/>
      <c r="F178" s="37" t="s">
        <v>327</v>
      </c>
      <c r="G178" s="37"/>
      <c r="H178" s="38">
        <v>52.1</v>
      </c>
    </row>
    <row r="179" spans="1:8">
      <c r="A179" s="37"/>
      <c r="B179" s="37"/>
      <c r="C179" s="37"/>
      <c r="D179" s="37"/>
      <c r="E179" s="37"/>
      <c r="F179" s="37" t="s">
        <v>328</v>
      </c>
      <c r="G179" s="37"/>
      <c r="H179" s="38">
        <v>3211.88</v>
      </c>
    </row>
    <row r="180" spans="1:8" ht="13.5" thickBot="1">
      <c r="A180" s="37"/>
      <c r="B180" s="37"/>
      <c r="C180" s="37"/>
      <c r="D180" s="37"/>
      <c r="E180" s="37"/>
      <c r="F180" s="37" t="s">
        <v>329</v>
      </c>
      <c r="G180" s="37"/>
      <c r="H180" s="40">
        <v>-170.22</v>
      </c>
    </row>
    <row r="181" spans="1:8" ht="13.5" thickBot="1">
      <c r="A181" s="37"/>
      <c r="B181" s="37"/>
      <c r="C181" s="37"/>
      <c r="D181" s="37"/>
      <c r="E181" s="37" t="s">
        <v>330</v>
      </c>
      <c r="F181" s="37"/>
      <c r="G181" s="37"/>
      <c r="H181" s="41">
        <f>ROUND(SUM(H176:H180),5)</f>
        <v>19245.03</v>
      </c>
    </row>
    <row r="182" spans="1:8" ht="26.45" customHeight="1" thickBot="1">
      <c r="A182" s="37"/>
      <c r="B182" s="37"/>
      <c r="C182" s="37"/>
      <c r="D182" s="37" t="s">
        <v>331</v>
      </c>
      <c r="E182" s="37"/>
      <c r="F182" s="37"/>
      <c r="G182" s="37"/>
      <c r="H182" s="41">
        <v>216955.81</v>
      </c>
    </row>
    <row r="183" spans="1:8" ht="26.45" customHeight="1">
      <c r="A183" s="37"/>
      <c r="B183" s="37" t="s">
        <v>332</v>
      </c>
      <c r="C183" s="37"/>
      <c r="D183" s="37"/>
      <c r="E183" s="37"/>
      <c r="F183" s="37"/>
      <c r="G183" s="37"/>
      <c r="H183" s="38">
        <v>64287.37</v>
      </c>
    </row>
    <row r="184" spans="1:8" ht="26.45" customHeight="1">
      <c r="A184" s="37"/>
      <c r="B184" s="37" t="s">
        <v>333</v>
      </c>
      <c r="C184" s="37"/>
      <c r="D184" s="37"/>
      <c r="E184" s="37"/>
      <c r="F184" s="37"/>
      <c r="G184" s="37"/>
      <c r="H184" s="38"/>
    </row>
    <row r="185" spans="1:8">
      <c r="A185" s="37"/>
      <c r="B185" s="37"/>
      <c r="C185" s="37" t="s">
        <v>334</v>
      </c>
      <c r="D185" s="37"/>
      <c r="E185" s="37"/>
      <c r="F185" s="37"/>
      <c r="G185" s="37"/>
      <c r="H185" s="38"/>
    </row>
    <row r="186" spans="1:8">
      <c r="A186" s="37"/>
      <c r="B186" s="37"/>
      <c r="C186" s="37"/>
      <c r="D186" s="37" t="s">
        <v>335</v>
      </c>
      <c r="E186" s="37"/>
      <c r="F186" s="37"/>
      <c r="G186" s="37"/>
      <c r="H186" s="38"/>
    </row>
    <row r="187" spans="1:8" ht="13.5" thickBot="1">
      <c r="A187" s="37"/>
      <c r="B187" s="37"/>
      <c r="C187" s="37"/>
      <c r="D187" s="37"/>
      <c r="E187" s="37" t="s">
        <v>336</v>
      </c>
      <c r="F187" s="37"/>
      <c r="G187" s="37"/>
      <c r="H187" s="40">
        <v>1067.5</v>
      </c>
    </row>
    <row r="188" spans="1:8" ht="13.5" thickBot="1">
      <c r="A188" s="37"/>
      <c r="B188" s="37"/>
      <c r="C188" s="37"/>
      <c r="D188" s="37" t="s">
        <v>337</v>
      </c>
      <c r="E188" s="37"/>
      <c r="F188" s="37"/>
      <c r="G188" s="37"/>
      <c r="H188" s="41">
        <f>ROUND(SUM(H186:H187),5)</f>
        <v>1067.5</v>
      </c>
    </row>
    <row r="189" spans="1:8" ht="26.45" customHeight="1" thickBot="1">
      <c r="A189" s="37"/>
      <c r="B189" s="37"/>
      <c r="C189" s="37" t="s">
        <v>338</v>
      </c>
      <c r="D189" s="37"/>
      <c r="E189" s="37"/>
      <c r="F189" s="37"/>
      <c r="G189" s="37"/>
      <c r="H189" s="41">
        <f>ROUND(H185+H188,5)</f>
        <v>1067.5</v>
      </c>
    </row>
    <row r="190" spans="1:8" ht="26.45" customHeight="1" thickBot="1">
      <c r="A190" s="37"/>
      <c r="B190" s="37" t="s">
        <v>339</v>
      </c>
      <c r="C190" s="37"/>
      <c r="D190" s="37"/>
      <c r="E190" s="37"/>
      <c r="F190" s="37"/>
      <c r="G190" s="37"/>
      <c r="H190" s="41">
        <f>ROUND(H184-H189,5)</f>
        <v>-1067.5</v>
      </c>
    </row>
    <row r="191" spans="1:8" s="42" customFormat="1" ht="26.45" customHeight="1" thickBot="1">
      <c r="A191" s="37" t="s">
        <v>94</v>
      </c>
      <c r="B191" s="37"/>
      <c r="C191" s="37"/>
      <c r="D191" s="37"/>
      <c r="E191" s="37"/>
      <c r="F191" s="37"/>
      <c r="G191" s="37"/>
      <c r="H191" s="43">
        <f>ROUND(H183+H190,5)</f>
        <v>63219.87</v>
      </c>
    </row>
    <row r="192" spans="1:8" ht="13.5" thickTop="1"/>
  </sheetData>
  <pageMargins left="0.75" right="0.75" top="1" bottom="1" header="0.25" footer="0.5"/>
  <pageSetup orientation="portrait" verticalDpi="0" r:id="rId1"/>
  <headerFooter alignWithMargins="0">
    <oddHeader>&amp;L&amp;"Arial,Bold"&amp;8 2:53 PM
&amp;"Arial,Bold"&amp;8 04/28/08
&amp;"Arial,Bold"&amp;8 Accrual Basis&amp;C&amp;"Arial,Bold"&amp;12 Torii Mor Winery, LLC
&amp;"Arial,Bold"&amp;14 Profit &amp;&amp; Loss
&amp;"Arial,Bold"&amp;10 January through March 2008</oddHeader>
    <oddFooter>&amp;R&amp;"Arial,Bold"&amp;8 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165"/>
  <sheetViews>
    <sheetView tabSelected="1" workbookViewId="0">
      <pane xSplit="6" ySplit="1" topLeftCell="G134" activePane="bottomRight" state="frozenSplit"/>
      <selection pane="topRight" activeCell="G1" sqref="G1"/>
      <selection pane="bottomLeft" activeCell="A2" sqref="A2"/>
      <selection pane="bottomRight" activeCell="G143" sqref="G143"/>
    </sheetView>
  </sheetViews>
  <sheetFormatPr defaultRowHeight="12.75"/>
  <cols>
    <col min="1" max="5" width="3" style="10" customWidth="1"/>
    <col min="6" max="6" width="31.5703125" style="10" customWidth="1"/>
    <col min="7" max="7" width="15.140625" style="11" customWidth="1"/>
  </cols>
  <sheetData>
    <row r="1" spans="1:7" s="9" customFormat="1" ht="13.5" thickBot="1">
      <c r="A1" s="7"/>
      <c r="B1" s="7"/>
      <c r="C1" s="7"/>
      <c r="D1" s="7"/>
      <c r="E1" s="7"/>
      <c r="F1" s="7"/>
      <c r="G1" s="8" t="s">
        <v>138</v>
      </c>
    </row>
    <row r="2" spans="1:7" ht="13.5" thickTop="1">
      <c r="A2" s="1" t="s">
        <v>0</v>
      </c>
      <c r="B2" s="1"/>
      <c r="C2" s="1"/>
      <c r="D2" s="1"/>
      <c r="E2" s="1"/>
      <c r="F2" s="1"/>
      <c r="G2" s="12"/>
    </row>
    <row r="3" spans="1:7">
      <c r="A3" s="1"/>
      <c r="B3" s="1" t="s">
        <v>1</v>
      </c>
      <c r="C3" s="1"/>
      <c r="D3" s="1"/>
      <c r="E3" s="1"/>
      <c r="F3" s="1"/>
      <c r="G3" s="12"/>
    </row>
    <row r="4" spans="1:7">
      <c r="A4" s="1"/>
      <c r="B4" s="1"/>
      <c r="C4" s="1" t="s">
        <v>2</v>
      </c>
      <c r="D4" s="1"/>
      <c r="E4" s="1"/>
      <c r="F4" s="1"/>
      <c r="G4" s="12"/>
    </row>
    <row r="5" spans="1:7">
      <c r="A5" s="1"/>
      <c r="B5" s="1"/>
      <c r="C5" s="1"/>
      <c r="D5" s="1" t="s">
        <v>3</v>
      </c>
      <c r="E5" s="1"/>
      <c r="F5" s="1"/>
      <c r="G5" s="12">
        <v>4450.34</v>
      </c>
    </row>
    <row r="6" spans="1:7">
      <c r="A6" s="1"/>
      <c r="B6" s="1"/>
      <c r="C6" s="1"/>
      <c r="D6" s="1" t="s">
        <v>139</v>
      </c>
      <c r="E6" s="1"/>
      <c r="F6" s="1"/>
      <c r="G6" s="12">
        <v>205</v>
      </c>
    </row>
    <row r="7" spans="1:7">
      <c r="A7" s="1"/>
      <c r="B7" s="1"/>
      <c r="C7" s="1"/>
      <c r="D7" s="1" t="s">
        <v>4</v>
      </c>
      <c r="E7" s="1"/>
      <c r="F7" s="1"/>
      <c r="G7" s="12">
        <v>200</v>
      </c>
    </row>
    <row r="8" spans="1:7">
      <c r="A8" s="1"/>
      <c r="B8" s="1"/>
      <c r="C8" s="1"/>
      <c r="D8" s="1" t="s">
        <v>5</v>
      </c>
      <c r="E8" s="1"/>
      <c r="F8" s="1"/>
      <c r="G8" s="12">
        <v>488.46</v>
      </c>
    </row>
    <row r="9" spans="1:7" ht="13.5" thickBot="1">
      <c r="A9" s="1"/>
      <c r="B9" s="1"/>
      <c r="C9" s="1"/>
      <c r="D9" s="1" t="s">
        <v>140</v>
      </c>
      <c r="E9" s="1"/>
      <c r="F9" s="1"/>
      <c r="G9" s="13">
        <v>-2000</v>
      </c>
    </row>
    <row r="10" spans="1:7">
      <c r="A10" s="1"/>
      <c r="B10" s="1"/>
      <c r="C10" s="1" t="s">
        <v>6</v>
      </c>
      <c r="D10" s="1"/>
      <c r="E10" s="1"/>
      <c r="F10" s="1"/>
      <c r="G10" s="12">
        <f>ROUND(SUM(G4:G9),5)</f>
        <v>3343.8</v>
      </c>
    </row>
    <row r="11" spans="1:7" ht="26.45" customHeight="1">
      <c r="A11" s="1"/>
      <c r="B11" s="1"/>
      <c r="C11" s="1" t="s">
        <v>7</v>
      </c>
      <c r="D11" s="1"/>
      <c r="E11" s="1"/>
      <c r="F11" s="1"/>
      <c r="G11" s="12"/>
    </row>
    <row r="12" spans="1:7" ht="13.5" thickBot="1">
      <c r="A12" s="1"/>
      <c r="B12" s="1"/>
      <c r="C12" s="1"/>
      <c r="D12" s="1" t="s">
        <v>8</v>
      </c>
      <c r="E12" s="1"/>
      <c r="F12" s="1"/>
      <c r="G12" s="33">
        <v>176141.55</v>
      </c>
    </row>
    <row r="13" spans="1:7">
      <c r="A13" s="1"/>
      <c r="B13" s="1"/>
      <c r="C13" s="1" t="s">
        <v>9</v>
      </c>
      <c r="D13" s="1"/>
      <c r="E13" s="1"/>
      <c r="F13" s="1"/>
      <c r="G13" s="12">
        <f>ROUND(SUM(G11:G12),5)</f>
        <v>176141.55</v>
      </c>
    </row>
    <row r="14" spans="1:7" ht="26.45" customHeight="1">
      <c r="A14" s="1"/>
      <c r="B14" s="1"/>
      <c r="C14" s="1" t="s">
        <v>10</v>
      </c>
      <c r="D14" s="1"/>
      <c r="E14" s="1"/>
      <c r="F14" s="1"/>
      <c r="G14" s="12"/>
    </row>
    <row r="15" spans="1:7">
      <c r="A15" s="1"/>
      <c r="B15" s="1"/>
      <c r="C15" s="1"/>
      <c r="D15" s="1" t="s">
        <v>11</v>
      </c>
      <c r="E15" s="1"/>
      <c r="F15" s="1"/>
      <c r="G15" s="12">
        <v>-2704</v>
      </c>
    </row>
    <row r="16" spans="1:7">
      <c r="A16" s="1"/>
      <c r="B16" s="1"/>
      <c r="C16" s="1"/>
      <c r="D16" s="1" t="s">
        <v>12</v>
      </c>
      <c r="E16" s="1"/>
      <c r="F16" s="1"/>
      <c r="G16" s="12">
        <v>1942</v>
      </c>
    </row>
    <row r="17" spans="1:7">
      <c r="A17" s="1"/>
      <c r="B17" s="1"/>
      <c r="C17" s="1"/>
      <c r="D17" s="1" t="s">
        <v>13</v>
      </c>
      <c r="E17" s="1"/>
      <c r="F17" s="1"/>
      <c r="G17" s="12"/>
    </row>
    <row r="18" spans="1:7">
      <c r="A18" s="1"/>
      <c r="B18" s="1"/>
      <c r="C18" s="1"/>
      <c r="D18" s="1"/>
      <c r="E18" s="1" t="s">
        <v>14</v>
      </c>
      <c r="F18" s="1"/>
      <c r="G18" s="12">
        <v>29683.48</v>
      </c>
    </row>
    <row r="19" spans="1:7">
      <c r="A19" s="1"/>
      <c r="B19" s="1"/>
      <c r="C19" s="1"/>
      <c r="D19" s="1"/>
      <c r="E19" s="1" t="s">
        <v>15</v>
      </c>
      <c r="F19" s="1"/>
      <c r="G19" s="12">
        <f>1086560.6+31846.08</f>
        <v>1118406.6800000002</v>
      </c>
    </row>
    <row r="20" spans="1:7" ht="13.5" thickBot="1">
      <c r="A20" s="1"/>
      <c r="B20" s="1"/>
      <c r="C20" s="1"/>
      <c r="D20" s="1"/>
      <c r="E20" s="1" t="s">
        <v>133</v>
      </c>
      <c r="F20" s="1"/>
      <c r="G20" s="13">
        <v>827706.87</v>
      </c>
    </row>
    <row r="21" spans="1:7">
      <c r="A21" s="1"/>
      <c r="B21" s="1"/>
      <c r="C21" s="1"/>
      <c r="D21" s="1" t="s">
        <v>16</v>
      </c>
      <c r="E21" s="1"/>
      <c r="F21" s="1"/>
      <c r="G21" s="12">
        <f>ROUND(SUM(G17:G20),5)</f>
        <v>1975797.03</v>
      </c>
    </row>
    <row r="22" spans="1:7" ht="26.45" customHeight="1">
      <c r="A22" s="1"/>
      <c r="B22" s="1"/>
      <c r="C22" s="1"/>
      <c r="D22" s="1" t="s">
        <v>105</v>
      </c>
      <c r="E22" s="1"/>
      <c r="F22" s="1"/>
      <c r="G22" s="12">
        <v>20603.07</v>
      </c>
    </row>
    <row r="23" spans="1:7">
      <c r="A23" s="1"/>
      <c r="B23" s="1"/>
      <c r="C23" s="1"/>
      <c r="D23" s="1" t="s">
        <v>17</v>
      </c>
      <c r="E23" s="1"/>
      <c r="F23" s="1"/>
      <c r="G23" s="12">
        <v>600</v>
      </c>
    </row>
    <row r="24" spans="1:7" ht="13.5" thickBot="1">
      <c r="A24" s="1"/>
      <c r="B24" s="1"/>
      <c r="C24" s="1"/>
      <c r="D24" s="1" t="s">
        <v>18</v>
      </c>
      <c r="E24" s="1"/>
      <c r="F24" s="1"/>
      <c r="G24" s="13">
        <v>3000</v>
      </c>
    </row>
    <row r="25" spans="1:7" ht="13.5" thickBot="1">
      <c r="A25" s="1"/>
      <c r="B25" s="1"/>
      <c r="C25" s="1" t="s">
        <v>19</v>
      </c>
      <c r="D25" s="1"/>
      <c r="E25" s="1"/>
      <c r="F25" s="1"/>
      <c r="G25" s="14">
        <f>ROUND(SUM(G14:G16)+SUM(G21:G24),5)</f>
        <v>1999238.1</v>
      </c>
    </row>
    <row r="26" spans="1:7" ht="26.45" customHeight="1">
      <c r="A26" s="1"/>
      <c r="B26" s="1" t="s">
        <v>20</v>
      </c>
      <c r="C26" s="1"/>
      <c r="D26" s="1"/>
      <c r="E26" s="1"/>
      <c r="F26" s="1"/>
      <c r="G26" s="12">
        <f>ROUND(G3+G10+G13+G25,5)</f>
        <v>2178723.4500000002</v>
      </c>
    </row>
    <row r="27" spans="1:7" ht="26.45" customHeight="1">
      <c r="A27" s="1"/>
      <c r="B27" s="1" t="s">
        <v>21</v>
      </c>
      <c r="C27" s="1"/>
      <c r="D27" s="1"/>
      <c r="E27" s="1"/>
      <c r="F27" s="1"/>
      <c r="G27" s="12"/>
    </row>
    <row r="28" spans="1:7">
      <c r="A28" s="1"/>
      <c r="B28" s="1"/>
      <c r="C28" s="1" t="s">
        <v>126</v>
      </c>
      <c r="D28" s="1"/>
      <c r="E28" s="1"/>
      <c r="F28" s="1"/>
      <c r="G28" s="12">
        <v>1296.97</v>
      </c>
    </row>
    <row r="29" spans="1:7">
      <c r="A29" s="1"/>
      <c r="B29" s="1"/>
      <c r="C29" s="1" t="s">
        <v>134</v>
      </c>
      <c r="D29" s="1"/>
      <c r="E29" s="1"/>
      <c r="F29" s="1"/>
      <c r="G29" s="12">
        <v>1280</v>
      </c>
    </row>
    <row r="30" spans="1:7">
      <c r="A30" s="1"/>
      <c r="B30" s="1"/>
      <c r="C30" s="1" t="s">
        <v>127</v>
      </c>
      <c r="D30" s="1"/>
      <c r="E30" s="1"/>
      <c r="F30" s="1"/>
      <c r="G30" s="12">
        <v>14186.98</v>
      </c>
    </row>
    <row r="31" spans="1:7">
      <c r="A31" s="1"/>
      <c r="B31" s="1"/>
      <c r="C31" s="1" t="s">
        <v>100</v>
      </c>
      <c r="D31" s="1"/>
      <c r="E31" s="1"/>
      <c r="F31" s="1"/>
      <c r="G31" s="12">
        <v>34680.49</v>
      </c>
    </row>
    <row r="32" spans="1:7">
      <c r="A32" s="1"/>
      <c r="B32" s="1"/>
      <c r="C32" s="1" t="s">
        <v>117</v>
      </c>
      <c r="D32" s="1"/>
      <c r="E32" s="1"/>
      <c r="F32" s="1"/>
      <c r="G32" s="12">
        <v>20672.099999999999</v>
      </c>
    </row>
    <row r="33" spans="1:7">
      <c r="A33" s="1"/>
      <c r="B33" s="1"/>
      <c r="C33" s="1" t="s">
        <v>114</v>
      </c>
      <c r="D33" s="1"/>
      <c r="E33" s="1"/>
      <c r="F33" s="1"/>
      <c r="G33" s="12">
        <v>351.98</v>
      </c>
    </row>
    <row r="34" spans="1:7">
      <c r="A34" s="1"/>
      <c r="B34" s="1"/>
      <c r="C34" s="1" t="s">
        <v>112</v>
      </c>
      <c r="D34" s="1"/>
      <c r="E34" s="1"/>
      <c r="F34" s="1"/>
      <c r="G34" s="12">
        <v>4324.58</v>
      </c>
    </row>
    <row r="35" spans="1:7">
      <c r="A35" s="1"/>
      <c r="B35" s="1"/>
      <c r="C35" s="1" t="s">
        <v>22</v>
      </c>
      <c r="D35" s="1"/>
      <c r="E35" s="1"/>
      <c r="F35" s="1"/>
      <c r="G35" s="12">
        <v>586598.85</v>
      </c>
    </row>
    <row r="36" spans="1:7">
      <c r="A36" s="1"/>
      <c r="B36" s="1"/>
      <c r="C36" s="1" t="s">
        <v>23</v>
      </c>
      <c r="D36" s="1"/>
      <c r="E36" s="1"/>
      <c r="F36" s="1"/>
      <c r="G36" s="12">
        <v>38988</v>
      </c>
    </row>
    <row r="37" spans="1:7">
      <c r="A37" s="1"/>
      <c r="B37" s="1"/>
      <c r="C37" s="1" t="s">
        <v>24</v>
      </c>
      <c r="D37" s="1"/>
      <c r="E37" s="1"/>
      <c r="F37" s="1"/>
      <c r="G37" s="12">
        <v>383357</v>
      </c>
    </row>
    <row r="38" spans="1:7">
      <c r="A38" s="1"/>
      <c r="B38" s="1"/>
      <c r="C38" s="1" t="s">
        <v>25</v>
      </c>
      <c r="D38" s="1"/>
      <c r="E38" s="1"/>
      <c r="F38" s="1"/>
      <c r="G38" s="12">
        <v>444992.38</v>
      </c>
    </row>
    <row r="39" spans="1:7">
      <c r="A39" s="1"/>
      <c r="B39" s="1"/>
      <c r="C39" s="1" t="s">
        <v>141</v>
      </c>
      <c r="D39" s="1"/>
      <c r="E39" s="1"/>
      <c r="F39" s="1"/>
      <c r="G39" s="12">
        <v>3784</v>
      </c>
    </row>
    <row r="40" spans="1:7">
      <c r="A40" s="1"/>
      <c r="B40" s="1"/>
      <c r="C40" s="1" t="s">
        <v>108</v>
      </c>
      <c r="D40" s="1"/>
      <c r="E40" s="1"/>
      <c r="F40" s="1"/>
      <c r="G40" s="12">
        <v>6635</v>
      </c>
    </row>
    <row r="41" spans="1:7">
      <c r="A41" s="1"/>
      <c r="B41" s="1"/>
      <c r="C41" s="1" t="s">
        <v>26</v>
      </c>
      <c r="D41" s="1"/>
      <c r="E41" s="1"/>
      <c r="F41" s="1"/>
      <c r="G41" s="12"/>
    </row>
    <row r="42" spans="1:7">
      <c r="A42" s="1"/>
      <c r="B42" s="1"/>
      <c r="C42" s="1"/>
      <c r="D42" s="1" t="s">
        <v>27</v>
      </c>
      <c r="E42" s="1"/>
      <c r="F42" s="1"/>
      <c r="G42" s="12">
        <v>35357.97</v>
      </c>
    </row>
    <row r="43" spans="1:7" ht="13.5" thickBot="1">
      <c r="A43" s="1"/>
      <c r="B43" s="1"/>
      <c r="C43" s="1"/>
      <c r="D43" s="1" t="s">
        <v>28</v>
      </c>
      <c r="E43" s="1"/>
      <c r="F43" s="1"/>
      <c r="G43" s="13">
        <v>12439.3</v>
      </c>
    </row>
    <row r="44" spans="1:7">
      <c r="A44" s="1"/>
      <c r="B44" s="1"/>
      <c r="C44" s="1" t="s">
        <v>29</v>
      </c>
      <c r="D44" s="1"/>
      <c r="E44" s="1"/>
      <c r="F44" s="1"/>
      <c r="G44" s="12">
        <f>ROUND(SUM(G41:G43),5)</f>
        <v>47797.27</v>
      </c>
    </row>
    <row r="45" spans="1:7" ht="26.45" customHeight="1">
      <c r="A45" s="1"/>
      <c r="B45" s="1"/>
      <c r="C45" s="1" t="s">
        <v>30</v>
      </c>
      <c r="D45" s="1"/>
      <c r="E45" s="1"/>
      <c r="F45" s="1"/>
      <c r="G45" s="12">
        <v>111568.96000000001</v>
      </c>
    </row>
    <row r="46" spans="1:7">
      <c r="A46" s="1"/>
      <c r="B46" s="1"/>
      <c r="C46" s="1" t="s">
        <v>128</v>
      </c>
      <c r="D46" s="1"/>
      <c r="E46" s="1"/>
      <c r="F46" s="1"/>
      <c r="G46" s="12">
        <v>512647</v>
      </c>
    </row>
    <row r="47" spans="1:7">
      <c r="A47" s="1"/>
      <c r="B47" s="1"/>
      <c r="C47" s="1" t="s">
        <v>31</v>
      </c>
      <c r="D47" s="1"/>
      <c r="E47" s="1"/>
      <c r="F47" s="1"/>
      <c r="G47" s="12"/>
    </row>
    <row r="48" spans="1:7">
      <c r="A48" s="1"/>
      <c r="B48" s="1"/>
      <c r="C48" s="1"/>
      <c r="D48" s="1" t="s">
        <v>123</v>
      </c>
      <c r="E48" s="1"/>
      <c r="F48" s="1"/>
      <c r="G48" s="12">
        <v>9500</v>
      </c>
    </row>
    <row r="49" spans="1:7">
      <c r="A49" s="1"/>
      <c r="B49" s="1"/>
      <c r="C49" s="1"/>
      <c r="D49" s="1" t="s">
        <v>129</v>
      </c>
      <c r="E49" s="1"/>
      <c r="F49" s="1"/>
      <c r="G49" s="12">
        <v>29378.97</v>
      </c>
    </row>
    <row r="50" spans="1:7">
      <c r="A50" s="1"/>
      <c r="B50" s="1"/>
      <c r="C50" s="1"/>
      <c r="D50" s="1" t="s">
        <v>32</v>
      </c>
      <c r="E50" s="1"/>
      <c r="F50" s="1"/>
      <c r="G50" s="12"/>
    </row>
    <row r="51" spans="1:7">
      <c r="A51" s="1"/>
      <c r="B51" s="1"/>
      <c r="C51" s="1"/>
      <c r="D51" s="1"/>
      <c r="E51" s="1" t="s">
        <v>106</v>
      </c>
      <c r="F51" s="1"/>
      <c r="G51" s="12">
        <v>163167.04999999999</v>
      </c>
    </row>
    <row r="52" spans="1:7">
      <c r="A52" s="1"/>
      <c r="B52" s="1"/>
      <c r="C52" s="1"/>
      <c r="D52" s="1"/>
      <c r="E52" s="1" t="s">
        <v>118</v>
      </c>
      <c r="F52" s="1"/>
      <c r="G52" s="12">
        <v>5555.11</v>
      </c>
    </row>
    <row r="53" spans="1:7">
      <c r="A53" s="1"/>
      <c r="B53" s="1"/>
      <c r="C53" s="1"/>
      <c r="D53" s="1"/>
      <c r="E53" s="1" t="s">
        <v>102</v>
      </c>
      <c r="F53" s="1"/>
      <c r="G53" s="12">
        <v>22399.919999999998</v>
      </c>
    </row>
    <row r="54" spans="1:7" s="6" customFormat="1" ht="12" thickBot="1">
      <c r="A54" s="1"/>
      <c r="B54" s="1"/>
      <c r="C54" s="1"/>
      <c r="D54" s="1"/>
      <c r="E54" s="1" t="s">
        <v>103</v>
      </c>
      <c r="F54" s="1"/>
      <c r="G54" s="13">
        <v>2401218.52</v>
      </c>
    </row>
    <row r="55" spans="1:7" ht="13.5" thickBot="1">
      <c r="A55" s="1"/>
      <c r="B55" s="1"/>
      <c r="C55" s="1"/>
      <c r="D55" s="1" t="s">
        <v>104</v>
      </c>
      <c r="E55" s="1"/>
      <c r="F55" s="1"/>
      <c r="G55" s="14">
        <f>ROUND(SUM(G50:G54),5)</f>
        <v>2592340.6</v>
      </c>
    </row>
    <row r="56" spans="1:7" ht="26.45" customHeight="1">
      <c r="A56" s="1"/>
      <c r="B56" s="1"/>
      <c r="C56" s="1" t="s">
        <v>33</v>
      </c>
      <c r="D56" s="1"/>
      <c r="E56" s="1"/>
      <c r="F56" s="1"/>
      <c r="G56" s="12">
        <f>ROUND(SUM(G47:G49)+G55,5)</f>
        <v>2631219.5699999998</v>
      </c>
    </row>
    <row r="57" spans="1:7" ht="26.45" customHeight="1">
      <c r="A57" s="1"/>
      <c r="B57" s="1"/>
      <c r="C57" s="1" t="s">
        <v>34</v>
      </c>
      <c r="D57" s="1"/>
      <c r="E57" s="1"/>
      <c r="F57" s="1"/>
      <c r="G57" s="12">
        <v>106642.21</v>
      </c>
    </row>
    <row r="58" spans="1:7">
      <c r="A58" s="1"/>
      <c r="B58" s="1"/>
      <c r="C58" s="1" t="s">
        <v>35</v>
      </c>
      <c r="D58" s="1"/>
      <c r="E58" s="1"/>
      <c r="F58" s="1"/>
      <c r="G58" s="12">
        <v>17588.5</v>
      </c>
    </row>
    <row r="59" spans="1:7">
      <c r="A59" s="1"/>
      <c r="B59" s="1"/>
      <c r="C59" s="1" t="s">
        <v>36</v>
      </c>
      <c r="D59" s="1"/>
      <c r="E59" s="1"/>
      <c r="F59" s="1"/>
      <c r="G59" s="12"/>
    </row>
    <row r="60" spans="1:7">
      <c r="A60" s="1"/>
      <c r="B60" s="1"/>
      <c r="C60" s="1"/>
      <c r="D60" s="1" t="s">
        <v>37</v>
      </c>
      <c r="E60" s="1"/>
      <c r="F60" s="1"/>
      <c r="G60" s="12">
        <v>45320.29</v>
      </c>
    </row>
    <row r="61" spans="1:7" ht="13.5" thickBot="1">
      <c r="A61" s="1"/>
      <c r="B61" s="1"/>
      <c r="C61" s="1"/>
      <c r="D61" s="1" t="s">
        <v>109</v>
      </c>
      <c r="E61" s="1"/>
      <c r="F61" s="1"/>
      <c r="G61" s="13">
        <v>758</v>
      </c>
    </row>
    <row r="62" spans="1:7">
      <c r="A62" s="1"/>
      <c r="B62" s="1"/>
      <c r="C62" s="1" t="s">
        <v>38</v>
      </c>
      <c r="D62" s="1"/>
      <c r="E62" s="1"/>
      <c r="F62" s="1"/>
      <c r="G62" s="12">
        <f>ROUND(SUM(G59:G61),5)</f>
        <v>46078.29</v>
      </c>
    </row>
    <row r="63" spans="1:7" ht="26.45" customHeight="1">
      <c r="A63" s="1"/>
      <c r="B63" s="1"/>
      <c r="C63" s="1" t="s">
        <v>124</v>
      </c>
      <c r="D63" s="1"/>
      <c r="E63" s="1"/>
      <c r="F63" s="1"/>
      <c r="G63" s="12">
        <v>550</v>
      </c>
    </row>
    <row r="64" spans="1:7">
      <c r="A64" s="1"/>
      <c r="B64" s="1"/>
      <c r="C64" s="1" t="s">
        <v>39</v>
      </c>
      <c r="D64" s="1"/>
      <c r="E64" s="1"/>
      <c r="F64" s="1"/>
      <c r="G64" s="12">
        <v>168547.5</v>
      </c>
    </row>
    <row r="65" spans="1:7">
      <c r="A65" s="1"/>
      <c r="B65" s="1"/>
      <c r="C65" s="1" t="s">
        <v>97</v>
      </c>
      <c r="D65" s="1"/>
      <c r="E65" s="1"/>
      <c r="F65" s="1"/>
      <c r="G65" s="12">
        <v>89393.74</v>
      </c>
    </row>
    <row r="66" spans="1:7" ht="13.5" thickBot="1">
      <c r="A66" s="1"/>
      <c r="B66" s="1"/>
      <c r="C66" s="1" t="s">
        <v>40</v>
      </c>
      <c r="D66" s="1"/>
      <c r="E66" s="1"/>
      <c r="F66" s="1"/>
      <c r="G66" s="13">
        <v>-602152</v>
      </c>
    </row>
    <row r="67" spans="1:7">
      <c r="A67" s="1"/>
      <c r="B67" s="1" t="s">
        <v>41</v>
      </c>
      <c r="C67" s="1"/>
      <c r="D67" s="1"/>
      <c r="E67" s="1"/>
      <c r="F67" s="1"/>
      <c r="G67" s="12">
        <f>ROUND(SUM(G27:G40)+SUM(G44:G46)+SUM(G56:G58)+SUM(G62:G66),5)</f>
        <v>4671029.37</v>
      </c>
    </row>
    <row r="68" spans="1:7" ht="26.45" customHeight="1">
      <c r="A68" s="1"/>
      <c r="B68" s="1" t="s">
        <v>42</v>
      </c>
      <c r="C68" s="1"/>
      <c r="D68" s="1"/>
      <c r="E68" s="1"/>
      <c r="F68" s="1"/>
      <c r="G68" s="12"/>
    </row>
    <row r="69" spans="1:7">
      <c r="A69" s="1"/>
      <c r="B69" s="1"/>
      <c r="C69" s="1" t="s">
        <v>43</v>
      </c>
      <c r="D69" s="1"/>
      <c r="E69" s="1"/>
      <c r="F69" s="1"/>
      <c r="G69" s="12">
        <v>62588.07</v>
      </c>
    </row>
    <row r="70" spans="1:7">
      <c r="A70" s="1"/>
      <c r="B70" s="1"/>
      <c r="C70" s="1" t="s">
        <v>98</v>
      </c>
      <c r="D70" s="1"/>
      <c r="E70" s="1"/>
      <c r="F70" s="1"/>
      <c r="G70" s="12">
        <v>71228.42</v>
      </c>
    </row>
    <row r="71" spans="1:7">
      <c r="A71" s="1"/>
      <c r="B71" s="1"/>
      <c r="C71" s="1" t="s">
        <v>44</v>
      </c>
      <c r="D71" s="1"/>
      <c r="E71" s="1"/>
      <c r="F71" s="1"/>
      <c r="G71" s="12">
        <v>-3147</v>
      </c>
    </row>
    <row r="72" spans="1:7" ht="13.5" thickBot="1">
      <c r="A72" s="1"/>
      <c r="B72" s="1"/>
      <c r="C72" s="1" t="s">
        <v>45</v>
      </c>
      <c r="D72" s="1"/>
      <c r="E72" s="1"/>
      <c r="F72" s="1"/>
      <c r="G72" s="13">
        <v>402</v>
      </c>
    </row>
    <row r="73" spans="1:7" ht="13.5" thickBot="1">
      <c r="A73" s="1"/>
      <c r="B73" s="1" t="s">
        <v>46</v>
      </c>
      <c r="C73" s="1"/>
      <c r="D73" s="1"/>
      <c r="E73" s="1"/>
      <c r="F73" s="1"/>
      <c r="G73" s="14">
        <f>ROUND(SUM(G68:G72),5)</f>
        <v>131071.49</v>
      </c>
    </row>
    <row r="74" spans="1:7" s="6" customFormat="1" ht="26.45" customHeight="1" thickBot="1">
      <c r="A74" s="1" t="s">
        <v>47</v>
      </c>
      <c r="B74" s="1"/>
      <c r="C74" s="1"/>
      <c r="D74" s="1"/>
      <c r="E74" s="1"/>
      <c r="F74" s="1"/>
      <c r="G74" s="15">
        <f>ROUND(G2+G26+G67+G73,5)</f>
        <v>6980824.3099999996</v>
      </c>
    </row>
    <row r="75" spans="1:7" ht="27.6" customHeight="1" thickTop="1">
      <c r="A75" s="1" t="s">
        <v>48</v>
      </c>
      <c r="B75" s="1"/>
      <c r="C75" s="1"/>
      <c r="D75" s="1"/>
      <c r="E75" s="1"/>
      <c r="F75" s="1"/>
      <c r="G75" s="12"/>
    </row>
    <row r="76" spans="1:7">
      <c r="A76" s="1"/>
      <c r="B76" s="1" t="s">
        <v>49</v>
      </c>
      <c r="C76" s="1"/>
      <c r="D76" s="1"/>
      <c r="E76" s="1"/>
      <c r="F76" s="1"/>
      <c r="G76" s="12"/>
    </row>
    <row r="77" spans="1:7">
      <c r="A77" s="1"/>
      <c r="B77" s="1"/>
      <c r="C77" s="1" t="s">
        <v>50</v>
      </c>
      <c r="D77" s="1"/>
      <c r="E77" s="1"/>
      <c r="F77" s="1"/>
      <c r="G77" s="12"/>
    </row>
    <row r="78" spans="1:7">
      <c r="A78" s="1"/>
      <c r="B78" s="1"/>
      <c r="C78" s="1"/>
      <c r="D78" s="1" t="s">
        <v>51</v>
      </c>
      <c r="E78" s="1"/>
      <c r="F78" s="1"/>
      <c r="G78" s="12"/>
    </row>
    <row r="79" spans="1:7">
      <c r="A79" s="1"/>
      <c r="B79" s="1"/>
      <c r="C79" s="1"/>
      <c r="D79" s="1"/>
      <c r="E79" s="1" t="s">
        <v>52</v>
      </c>
      <c r="F79" s="1"/>
      <c r="G79" s="12">
        <v>-378102.72</v>
      </c>
    </row>
    <row r="80" spans="1:7">
      <c r="A80" s="1"/>
      <c r="B80" s="1"/>
      <c r="C80" s="1"/>
      <c r="D80" s="1"/>
      <c r="E80" s="1" t="s">
        <v>53</v>
      </c>
      <c r="F80" s="1"/>
      <c r="G80" s="12">
        <v>235560.4</v>
      </c>
    </row>
    <row r="81" spans="1:7">
      <c r="A81" s="1"/>
      <c r="B81" s="1"/>
      <c r="C81" s="1"/>
      <c r="D81" s="1"/>
      <c r="E81" s="1" t="s">
        <v>54</v>
      </c>
      <c r="F81" s="1"/>
      <c r="G81" s="12">
        <v>221906.22</v>
      </c>
    </row>
    <row r="82" spans="1:7" ht="13.5" thickBot="1">
      <c r="A82" s="1"/>
      <c r="B82" s="1"/>
      <c r="C82" s="1"/>
      <c r="D82" s="1"/>
      <c r="E82" s="1" t="s">
        <v>113</v>
      </c>
      <c r="F82" s="1"/>
      <c r="G82" s="13">
        <v>42312.3</v>
      </c>
    </row>
    <row r="83" spans="1:7">
      <c r="A83" s="1"/>
      <c r="B83" s="1"/>
      <c r="C83" s="1"/>
      <c r="D83" s="1" t="s">
        <v>55</v>
      </c>
      <c r="E83" s="1"/>
      <c r="F83" s="1"/>
      <c r="G83" s="12">
        <f>ROUND(SUM(G78:G82),5)</f>
        <v>121676.2</v>
      </c>
    </row>
    <row r="84" spans="1:7" ht="26.45" customHeight="1">
      <c r="A84" s="1"/>
      <c r="B84" s="1"/>
      <c r="C84" s="1"/>
      <c r="D84" s="1" t="s">
        <v>56</v>
      </c>
      <c r="E84" s="1"/>
      <c r="F84" s="1"/>
      <c r="G84" s="12"/>
    </row>
    <row r="85" spans="1:7">
      <c r="A85" s="1"/>
      <c r="B85" s="1"/>
      <c r="C85" s="1"/>
      <c r="D85" s="1"/>
      <c r="E85" s="1" t="s">
        <v>115</v>
      </c>
      <c r="F85" s="1"/>
      <c r="G85" s="12">
        <v>70.5</v>
      </c>
    </row>
    <row r="86" spans="1:7">
      <c r="A86" s="1"/>
      <c r="B86" s="1"/>
      <c r="C86" s="1"/>
      <c r="D86" s="1"/>
      <c r="E86" s="1" t="s">
        <v>57</v>
      </c>
      <c r="F86" s="1"/>
      <c r="G86" s="12">
        <v>453.9</v>
      </c>
    </row>
    <row r="87" spans="1:7">
      <c r="A87" s="1"/>
      <c r="B87" s="1"/>
      <c r="C87" s="1"/>
      <c r="D87" s="1"/>
      <c r="E87" s="1" t="s">
        <v>58</v>
      </c>
      <c r="F87" s="1"/>
      <c r="G87" s="12">
        <v>12.36</v>
      </c>
    </row>
    <row r="88" spans="1:7">
      <c r="A88" s="1"/>
      <c r="B88" s="1"/>
      <c r="C88" s="1"/>
      <c r="D88" s="1"/>
      <c r="E88" s="1" t="s">
        <v>101</v>
      </c>
      <c r="F88" s="1"/>
      <c r="G88" s="12">
        <v>93.78</v>
      </c>
    </row>
    <row r="89" spans="1:7">
      <c r="A89" s="1"/>
      <c r="B89" s="1"/>
      <c r="C89" s="1"/>
      <c r="D89" s="1"/>
      <c r="E89" s="1" t="s">
        <v>59</v>
      </c>
      <c r="F89" s="1"/>
      <c r="G89" s="12">
        <v>-1108.3399999999999</v>
      </c>
    </row>
    <row r="90" spans="1:7" ht="13.5" thickBot="1">
      <c r="A90" s="1"/>
      <c r="B90" s="1"/>
      <c r="C90" s="1"/>
      <c r="D90" s="1"/>
      <c r="E90" s="1" t="s">
        <v>116</v>
      </c>
      <c r="F90" s="1"/>
      <c r="G90" s="13">
        <v>-14.8</v>
      </c>
    </row>
    <row r="91" spans="1:7">
      <c r="A91" s="1"/>
      <c r="B91" s="1"/>
      <c r="C91" s="1"/>
      <c r="D91" s="1" t="s">
        <v>60</v>
      </c>
      <c r="E91" s="1"/>
      <c r="F91" s="1"/>
      <c r="G91" s="12">
        <f>ROUND(SUM(G84:G90),5)</f>
        <v>-492.6</v>
      </c>
    </row>
    <row r="92" spans="1:7" ht="26.45" customHeight="1">
      <c r="A92" s="1"/>
      <c r="B92" s="1"/>
      <c r="C92" s="1"/>
      <c r="D92" s="1" t="s">
        <v>61</v>
      </c>
      <c r="E92" s="1"/>
      <c r="F92" s="1"/>
      <c r="G92" s="12"/>
    </row>
    <row r="93" spans="1:7">
      <c r="A93" s="1"/>
      <c r="B93" s="1"/>
      <c r="C93" s="1"/>
      <c r="D93" s="1"/>
      <c r="E93" s="1" t="s">
        <v>62</v>
      </c>
      <c r="F93" s="1"/>
      <c r="G93" s="12">
        <v>1277093.3999999999</v>
      </c>
    </row>
    <row r="94" spans="1:7">
      <c r="A94" s="1"/>
      <c r="B94" s="1"/>
      <c r="C94" s="1"/>
      <c r="D94" s="1"/>
      <c r="E94" s="1" t="s">
        <v>63</v>
      </c>
      <c r="F94" s="1"/>
      <c r="G94" s="12">
        <v>200000</v>
      </c>
    </row>
    <row r="95" spans="1:7">
      <c r="A95" s="1"/>
      <c r="B95" s="1"/>
      <c r="C95" s="1"/>
      <c r="D95" s="1"/>
      <c r="E95" s="1" t="s">
        <v>64</v>
      </c>
      <c r="F95" s="1"/>
      <c r="G95" s="12"/>
    </row>
    <row r="96" spans="1:7">
      <c r="A96" s="1"/>
      <c r="B96" s="1"/>
      <c r="C96" s="1"/>
      <c r="D96" s="1"/>
      <c r="E96" s="1"/>
      <c r="F96" s="1" t="s">
        <v>65</v>
      </c>
      <c r="G96" s="12">
        <v>57.04</v>
      </c>
    </row>
    <row r="97" spans="1:7">
      <c r="A97" s="1"/>
      <c r="B97" s="1"/>
      <c r="C97" s="1"/>
      <c r="D97" s="1"/>
      <c r="E97" s="1"/>
      <c r="F97" s="1" t="s">
        <v>66</v>
      </c>
      <c r="G97" s="12">
        <v>464.72</v>
      </c>
    </row>
    <row r="98" spans="1:7">
      <c r="A98" s="1"/>
      <c r="B98" s="1"/>
      <c r="C98" s="1"/>
      <c r="D98" s="1"/>
      <c r="E98" s="1"/>
      <c r="F98" s="1" t="s">
        <v>67</v>
      </c>
      <c r="G98" s="12">
        <v>1176</v>
      </c>
    </row>
    <row r="99" spans="1:7">
      <c r="A99" s="1"/>
      <c r="B99" s="1"/>
      <c r="C99" s="1"/>
      <c r="D99" s="1"/>
      <c r="E99" s="1"/>
      <c r="F99" s="1" t="s">
        <v>68</v>
      </c>
      <c r="G99" s="12">
        <v>1197.4100000000001</v>
      </c>
    </row>
    <row r="100" spans="1:7">
      <c r="A100" s="1"/>
      <c r="B100" s="1"/>
      <c r="C100" s="1"/>
      <c r="D100" s="1"/>
      <c r="E100" s="1"/>
      <c r="F100" s="1" t="s">
        <v>69</v>
      </c>
      <c r="G100" s="12">
        <v>117.99</v>
      </c>
    </row>
    <row r="101" spans="1:7" ht="13.5" thickBot="1">
      <c r="A101" s="1"/>
      <c r="B101" s="1"/>
      <c r="C101" s="1"/>
      <c r="D101" s="1"/>
      <c r="E101" s="1"/>
      <c r="F101" s="1" t="s">
        <v>70</v>
      </c>
      <c r="G101" s="13">
        <v>2134.61</v>
      </c>
    </row>
    <row r="102" spans="1:7">
      <c r="A102" s="1"/>
      <c r="B102" s="1"/>
      <c r="C102" s="1"/>
      <c r="D102" s="1"/>
      <c r="E102" s="1" t="s">
        <v>71</v>
      </c>
      <c r="F102" s="1"/>
      <c r="G102" s="12">
        <f>ROUND(SUM(G95:G101),5)</f>
        <v>5147.7700000000004</v>
      </c>
    </row>
    <row r="103" spans="1:7" ht="26.45" customHeight="1" thickBot="1">
      <c r="A103" s="1"/>
      <c r="B103" s="1"/>
      <c r="C103" s="1"/>
      <c r="D103" s="1"/>
      <c r="E103" s="1" t="s">
        <v>72</v>
      </c>
      <c r="F103" s="1"/>
      <c r="G103" s="13">
        <v>12068</v>
      </c>
    </row>
    <row r="104" spans="1:7" ht="13.5" thickBot="1">
      <c r="A104" s="1"/>
      <c r="B104" s="1"/>
      <c r="C104" s="1"/>
      <c r="D104" s="1" t="s">
        <v>73</v>
      </c>
      <c r="E104" s="1"/>
      <c r="F104" s="1"/>
      <c r="G104" s="14">
        <f>ROUND(SUM(G92:G94)+SUM(G102:G103),5)</f>
        <v>1494309.17</v>
      </c>
    </row>
    <row r="105" spans="1:7" ht="26.45" customHeight="1">
      <c r="A105" s="1"/>
      <c r="B105" s="1"/>
      <c r="C105" s="1" t="s">
        <v>74</v>
      </c>
      <c r="D105" s="1"/>
      <c r="E105" s="1"/>
      <c r="F105" s="1"/>
      <c r="G105" s="12">
        <f>ROUND(G77+G83+G91+G104,5)</f>
        <v>1615492.77</v>
      </c>
    </row>
    <row r="106" spans="1:7" ht="26.45" customHeight="1">
      <c r="A106" s="1"/>
      <c r="B106" s="1"/>
      <c r="C106" s="1" t="s">
        <v>75</v>
      </c>
      <c r="D106" s="1"/>
      <c r="E106" s="1"/>
      <c r="F106" s="1"/>
      <c r="G106" s="12"/>
    </row>
    <row r="107" spans="1:7" s="6" customFormat="1" ht="11.25">
      <c r="A107" s="1"/>
      <c r="B107" s="1"/>
      <c r="C107" s="1"/>
      <c r="D107" s="1" t="s">
        <v>76</v>
      </c>
      <c r="E107" s="1"/>
      <c r="F107" s="1"/>
      <c r="G107" s="12"/>
    </row>
    <row r="108" spans="1:7">
      <c r="A108" s="1"/>
      <c r="B108" s="1"/>
      <c r="C108" s="1"/>
      <c r="D108" s="1"/>
      <c r="E108" s="1" t="s">
        <v>142</v>
      </c>
      <c r="F108" s="1"/>
      <c r="G108" s="12">
        <v>-1570.58</v>
      </c>
    </row>
    <row r="109" spans="1:7">
      <c r="A109" s="1"/>
      <c r="B109" s="1"/>
      <c r="C109" s="1"/>
      <c r="D109" s="1"/>
      <c r="E109" s="1" t="s">
        <v>77</v>
      </c>
      <c r="F109" s="1"/>
      <c r="G109" s="12">
        <v>5161.1400000000003</v>
      </c>
    </row>
    <row r="110" spans="1:7">
      <c r="A110" s="1"/>
      <c r="B110" s="1"/>
      <c r="C110" s="1"/>
      <c r="D110" s="1"/>
      <c r="E110" s="1" t="s">
        <v>99</v>
      </c>
      <c r="F110" s="1"/>
      <c r="G110" s="12">
        <v>23092.36</v>
      </c>
    </row>
    <row r="111" spans="1:7">
      <c r="A111" s="1"/>
      <c r="B111" s="1"/>
      <c r="C111" s="1"/>
      <c r="D111" s="1"/>
      <c r="E111" s="1" t="s">
        <v>78</v>
      </c>
      <c r="F111" s="1"/>
      <c r="G111" s="12">
        <v>3447.2</v>
      </c>
    </row>
    <row r="112" spans="1:7">
      <c r="A112" s="1"/>
      <c r="B112" s="1"/>
      <c r="C112" s="1"/>
      <c r="D112" s="1"/>
      <c r="E112" s="1" t="s">
        <v>130</v>
      </c>
      <c r="F112" s="1"/>
      <c r="G112" s="12">
        <v>42768.19</v>
      </c>
    </row>
    <row r="113" spans="1:7">
      <c r="A113" s="1"/>
      <c r="B113" s="1"/>
      <c r="C113" s="1"/>
      <c r="D113" s="1"/>
      <c r="E113" s="1" t="s">
        <v>110</v>
      </c>
      <c r="F113" s="1"/>
      <c r="G113" s="12">
        <v>63557.1</v>
      </c>
    </row>
    <row r="114" spans="1:7">
      <c r="A114" s="1"/>
      <c r="B114" s="1"/>
      <c r="C114" s="1"/>
      <c r="D114" s="1"/>
      <c r="E114" s="1" t="s">
        <v>79</v>
      </c>
      <c r="F114" s="1"/>
      <c r="G114" s="12">
        <v>6223.46</v>
      </c>
    </row>
    <row r="115" spans="1:7">
      <c r="A115" s="1"/>
      <c r="B115" s="1"/>
      <c r="C115" s="1"/>
      <c r="D115" s="1"/>
      <c r="E115" s="1" t="s">
        <v>80</v>
      </c>
      <c r="F115" s="1"/>
      <c r="G115" s="12">
        <v>10334.34</v>
      </c>
    </row>
    <row r="116" spans="1:7">
      <c r="A116" s="1"/>
      <c r="B116" s="1"/>
      <c r="C116" s="1"/>
      <c r="D116" s="1"/>
      <c r="E116" s="1" t="s">
        <v>81</v>
      </c>
      <c r="F116" s="1"/>
      <c r="G116" s="12">
        <v>2229.21</v>
      </c>
    </row>
    <row r="117" spans="1:7">
      <c r="A117" s="1"/>
      <c r="B117" s="1"/>
      <c r="C117" s="1"/>
      <c r="D117" s="1"/>
      <c r="E117" s="1" t="s">
        <v>82</v>
      </c>
      <c r="F117" s="1"/>
      <c r="G117" s="12">
        <v>13452.72</v>
      </c>
    </row>
    <row r="118" spans="1:7">
      <c r="A118" s="1"/>
      <c r="B118" s="1"/>
      <c r="C118" s="1"/>
      <c r="D118" s="1"/>
      <c r="E118" s="1" t="s">
        <v>83</v>
      </c>
      <c r="F118" s="1"/>
      <c r="G118" s="12">
        <v>12712.26</v>
      </c>
    </row>
    <row r="119" spans="1:7">
      <c r="A119" s="1"/>
      <c r="B119" s="1"/>
      <c r="C119" s="1"/>
      <c r="D119" s="1"/>
      <c r="E119" s="1" t="s">
        <v>119</v>
      </c>
      <c r="F119" s="1"/>
      <c r="G119" s="12">
        <v>323808.03000000003</v>
      </c>
    </row>
    <row r="120" spans="1:7">
      <c r="A120" s="1"/>
      <c r="B120" s="1"/>
      <c r="C120" s="1"/>
      <c r="D120" s="1"/>
      <c r="E120" s="1" t="s">
        <v>120</v>
      </c>
      <c r="F120" s="1"/>
      <c r="G120" s="12">
        <v>57141</v>
      </c>
    </row>
    <row r="121" spans="1:7">
      <c r="A121" s="1"/>
      <c r="B121" s="1"/>
      <c r="C121" s="1"/>
      <c r="D121" s="1"/>
      <c r="E121" s="1" t="s">
        <v>121</v>
      </c>
      <c r="F121" s="1"/>
      <c r="G121" s="12">
        <v>27900</v>
      </c>
    </row>
    <row r="122" spans="1:7">
      <c r="A122" s="1"/>
      <c r="B122" s="1"/>
      <c r="C122" s="1"/>
      <c r="D122" s="1"/>
      <c r="E122" s="1" t="s">
        <v>122</v>
      </c>
      <c r="F122" s="1"/>
      <c r="G122" s="12">
        <v>21296.81</v>
      </c>
    </row>
    <row r="123" spans="1:7" ht="13.5" thickBot="1">
      <c r="A123" s="1"/>
      <c r="B123" s="1"/>
      <c r="C123" s="1"/>
      <c r="D123" s="1"/>
      <c r="E123" s="1" t="s">
        <v>137</v>
      </c>
      <c r="F123" s="1"/>
      <c r="G123" s="13">
        <v>17623.689999999999</v>
      </c>
    </row>
    <row r="124" spans="1:7">
      <c r="A124" s="1"/>
      <c r="B124" s="1"/>
      <c r="C124" s="1"/>
      <c r="D124" s="1" t="s">
        <v>84</v>
      </c>
      <c r="E124" s="1"/>
      <c r="F124" s="1"/>
      <c r="G124" s="12">
        <f>ROUND(SUM(G107:G123),5)</f>
        <v>629176.93000000005</v>
      </c>
    </row>
    <row r="125" spans="1:7" ht="26.45" customHeight="1" thickBot="1">
      <c r="A125" s="1"/>
      <c r="B125" s="1"/>
      <c r="C125" s="1"/>
      <c r="D125" s="1" t="s">
        <v>107</v>
      </c>
      <c r="E125" s="1"/>
      <c r="F125" s="1"/>
      <c r="G125" s="13">
        <v>2576104</v>
      </c>
    </row>
    <row r="126" spans="1:7" ht="13.5" thickBot="1">
      <c r="A126" s="1"/>
      <c r="B126" s="1"/>
      <c r="C126" s="1" t="s">
        <v>86</v>
      </c>
      <c r="D126" s="1"/>
      <c r="E126" s="1"/>
      <c r="F126" s="1"/>
      <c r="G126" s="14">
        <f>ROUND(G106+SUM(G124:G125),5)</f>
        <v>3205280.93</v>
      </c>
    </row>
    <row r="127" spans="1:7" ht="26.45" customHeight="1">
      <c r="A127" s="1"/>
      <c r="B127" s="1" t="s">
        <v>87</v>
      </c>
      <c r="C127" s="1"/>
      <c r="D127" s="1"/>
      <c r="E127" s="1"/>
      <c r="F127" s="1"/>
      <c r="G127" s="12">
        <f>ROUND(G76+G105+G126,5)</f>
        <v>4820773.7</v>
      </c>
    </row>
    <row r="128" spans="1:7" ht="26.45" customHeight="1">
      <c r="A128" s="1"/>
      <c r="B128" s="1" t="s">
        <v>88</v>
      </c>
      <c r="C128" s="1"/>
      <c r="D128" s="1"/>
      <c r="E128" s="1"/>
      <c r="F128" s="1"/>
      <c r="G128" s="12"/>
    </row>
    <row r="129" spans="1:7">
      <c r="A129" s="1"/>
      <c r="B129" s="1"/>
      <c r="C129" s="1" t="s">
        <v>143</v>
      </c>
      <c r="D129" s="1"/>
      <c r="E129" s="1"/>
      <c r="F129" s="1"/>
      <c r="G129" s="12">
        <v>254312.86</v>
      </c>
    </row>
    <row r="130" spans="1:7">
      <c r="A130" s="1"/>
      <c r="B130" s="1"/>
      <c r="C130" s="1" t="s">
        <v>89</v>
      </c>
      <c r="D130" s="1"/>
      <c r="E130" s="1"/>
      <c r="F130" s="1"/>
      <c r="G130" s="12"/>
    </row>
    <row r="131" spans="1:7">
      <c r="A131" s="1"/>
      <c r="B131" s="1"/>
      <c r="C131" s="1"/>
      <c r="D131" s="1" t="s">
        <v>90</v>
      </c>
      <c r="E131" s="1"/>
      <c r="F131" s="1"/>
      <c r="G131" s="12">
        <v>419687.84</v>
      </c>
    </row>
    <row r="132" spans="1:7">
      <c r="A132" s="1"/>
      <c r="B132" s="1"/>
      <c r="C132" s="1"/>
      <c r="D132" s="1" t="s">
        <v>91</v>
      </c>
      <c r="E132" s="1"/>
      <c r="F132" s="1"/>
      <c r="G132" s="12">
        <v>-31790.959999999999</v>
      </c>
    </row>
    <row r="133" spans="1:7">
      <c r="A133" s="1"/>
      <c r="B133" s="1"/>
      <c r="C133" s="1"/>
      <c r="D133" s="1" t="s">
        <v>111</v>
      </c>
      <c r="E133" s="1"/>
      <c r="F133" s="1"/>
      <c r="G133" s="12">
        <v>-37900</v>
      </c>
    </row>
    <row r="134" spans="1:7">
      <c r="A134" s="1"/>
      <c r="B134" s="1"/>
      <c r="C134" s="1"/>
      <c r="D134" s="1" t="s">
        <v>131</v>
      </c>
      <c r="E134" s="1"/>
      <c r="F134" s="1"/>
      <c r="G134" s="12">
        <v>512647</v>
      </c>
    </row>
    <row r="135" spans="1:7" ht="13.5" thickBot="1">
      <c r="A135" s="1"/>
      <c r="B135" s="1"/>
      <c r="C135" s="1"/>
      <c r="D135" s="1" t="s">
        <v>92</v>
      </c>
      <c r="E135" s="1"/>
      <c r="F135" s="1"/>
      <c r="G135" s="13">
        <v>979874</v>
      </c>
    </row>
    <row r="136" spans="1:7">
      <c r="A136" s="1"/>
      <c r="B136" s="1"/>
      <c r="C136" s="1" t="s">
        <v>93</v>
      </c>
      <c r="D136" s="1"/>
      <c r="E136" s="1"/>
      <c r="F136" s="1"/>
      <c r="G136" s="12">
        <f>ROUND(SUM(G130:G135),5)</f>
        <v>1842517.88</v>
      </c>
    </row>
    <row r="137" spans="1:7" ht="26.45" customHeight="1" thickBot="1">
      <c r="A137" s="1"/>
      <c r="B137" s="1"/>
      <c r="C137" s="1" t="s">
        <v>94</v>
      </c>
      <c r="D137" s="1"/>
      <c r="E137" s="1"/>
      <c r="F137" s="1"/>
      <c r="G137" s="13">
        <v>63219.87</v>
      </c>
    </row>
    <row r="138" spans="1:7" ht="13.5" thickBot="1">
      <c r="A138" s="1"/>
      <c r="B138" s="1" t="s">
        <v>95</v>
      </c>
      <c r="C138" s="1"/>
      <c r="D138" s="1"/>
      <c r="E138" s="1"/>
      <c r="F138" s="1"/>
      <c r="G138" s="14">
        <f>ROUND(SUM(G128:G129)+SUM(G136:G137),5)</f>
        <v>2160050.61</v>
      </c>
    </row>
    <row r="139" spans="1:7" s="6" customFormat="1" ht="26.45" customHeight="1" thickBot="1">
      <c r="A139" s="1" t="s">
        <v>96</v>
      </c>
      <c r="B139" s="1"/>
      <c r="C139" s="1"/>
      <c r="D139" s="1"/>
      <c r="E139" s="1"/>
      <c r="F139" s="1"/>
      <c r="G139" s="15">
        <f>ROUND(G75+G127+G138,5)</f>
        <v>6980824.3099999996</v>
      </c>
    </row>
    <row r="140" spans="1:7" ht="13.5" thickTop="1"/>
    <row r="141" spans="1:7">
      <c r="A141" s="16"/>
      <c r="B141" s="17"/>
      <c r="C141" s="17"/>
      <c r="D141" s="17"/>
      <c r="E141" s="17"/>
      <c r="F141" s="17"/>
      <c r="G141" s="18"/>
    </row>
    <row r="142" spans="1:7">
      <c r="A142" s="19" t="s">
        <v>144</v>
      </c>
      <c r="B142" s="20"/>
      <c r="C142" s="20"/>
      <c r="D142" s="20"/>
      <c r="E142" s="20"/>
      <c r="F142" s="20"/>
      <c r="G142" s="21" t="s">
        <v>149</v>
      </c>
    </row>
    <row r="143" spans="1:7">
      <c r="A143" s="22"/>
      <c r="B143" s="24" t="s">
        <v>77</v>
      </c>
      <c r="C143" s="24"/>
      <c r="D143" s="20"/>
      <c r="E143" s="20"/>
      <c r="F143" s="20"/>
      <c r="G143" s="25">
        <f>294.7*3</f>
        <v>884.09999999999991</v>
      </c>
    </row>
    <row r="144" spans="1:7">
      <c r="A144" s="22"/>
      <c r="B144" s="24" t="s">
        <v>99</v>
      </c>
      <c r="C144" s="24"/>
      <c r="D144" s="20"/>
      <c r="E144" s="20"/>
      <c r="F144" s="20"/>
      <c r="G144" s="25">
        <f>491.85*3</f>
        <v>1475.5500000000002</v>
      </c>
    </row>
    <row r="145" spans="1:7">
      <c r="A145" s="22"/>
      <c r="B145" s="24" t="s">
        <v>78</v>
      </c>
      <c r="C145" s="24"/>
      <c r="D145" s="20"/>
      <c r="E145" s="20"/>
      <c r="F145" s="20"/>
      <c r="G145" s="25">
        <f>689.44*3</f>
        <v>2068.3200000000002</v>
      </c>
    </row>
    <row r="146" spans="1:7">
      <c r="A146" s="22"/>
      <c r="B146" s="24" t="s">
        <v>130</v>
      </c>
      <c r="C146" s="24"/>
      <c r="D146" s="20"/>
      <c r="E146" s="20"/>
      <c r="F146" s="20"/>
      <c r="G146" s="25">
        <f>763*3</f>
        <v>2289</v>
      </c>
    </row>
    <row r="147" spans="1:7">
      <c r="A147" s="22"/>
      <c r="B147" s="24" t="s">
        <v>110</v>
      </c>
      <c r="C147" s="24"/>
      <c r="D147" s="20"/>
      <c r="E147" s="20"/>
      <c r="F147" s="20"/>
      <c r="G147" s="25">
        <f>1303*3</f>
        <v>3909</v>
      </c>
    </row>
    <row r="148" spans="1:7">
      <c r="A148" s="22"/>
      <c r="B148" s="24" t="s">
        <v>79</v>
      </c>
      <c r="C148" s="24"/>
      <c r="D148" s="20"/>
      <c r="E148" s="20"/>
      <c r="F148" s="20"/>
      <c r="G148" s="25">
        <f>769*3</f>
        <v>2307</v>
      </c>
    </row>
    <row r="149" spans="1:7">
      <c r="A149" s="22"/>
      <c r="B149" s="24" t="s">
        <v>80</v>
      </c>
      <c r="C149" s="24"/>
      <c r="D149" s="20"/>
      <c r="E149" s="20"/>
      <c r="F149" s="20"/>
      <c r="G149" s="25">
        <f>410*3</f>
        <v>1230</v>
      </c>
    </row>
    <row r="150" spans="1:7">
      <c r="A150" s="22"/>
      <c r="B150" s="24" t="s">
        <v>81</v>
      </c>
      <c r="C150" s="24"/>
      <c r="D150" s="20"/>
      <c r="E150" s="20"/>
      <c r="F150" s="20"/>
      <c r="G150" s="25">
        <f>1968.5*3</f>
        <v>5905.5</v>
      </c>
    </row>
    <row r="151" spans="1:7">
      <c r="A151" s="22"/>
      <c r="B151" s="24" t="s">
        <v>82</v>
      </c>
      <c r="C151" s="24"/>
      <c r="D151" s="20"/>
      <c r="E151" s="20"/>
      <c r="F151" s="20"/>
      <c r="G151" s="25">
        <f>614*3</f>
        <v>1842</v>
      </c>
    </row>
    <row r="152" spans="1:7">
      <c r="A152" s="22"/>
      <c r="B152" s="24" t="s">
        <v>83</v>
      </c>
      <c r="C152" s="24"/>
      <c r="D152" s="20"/>
      <c r="E152" s="20"/>
      <c r="F152" s="20"/>
      <c r="G152" s="25">
        <f>537*3</f>
        <v>1611</v>
      </c>
    </row>
    <row r="153" spans="1:7">
      <c r="A153" s="22"/>
      <c r="B153" s="24" t="s">
        <v>119</v>
      </c>
      <c r="C153" s="24"/>
      <c r="D153" s="20"/>
      <c r="E153" s="20"/>
      <c r="F153" s="20"/>
      <c r="G153" s="25">
        <f>5139.81*3</f>
        <v>15419.43</v>
      </c>
    </row>
    <row r="154" spans="1:7">
      <c r="A154" s="22"/>
      <c r="B154" s="24" t="s">
        <v>120</v>
      </c>
      <c r="C154" s="24"/>
      <c r="D154" s="20"/>
      <c r="E154" s="20"/>
      <c r="F154" s="20"/>
      <c r="G154" s="25">
        <f>907*3</f>
        <v>2721</v>
      </c>
    </row>
    <row r="155" spans="1:7">
      <c r="A155" s="22"/>
      <c r="B155" s="24" t="s">
        <v>121</v>
      </c>
      <c r="C155" s="24"/>
      <c r="D155" s="20"/>
      <c r="E155" s="20"/>
      <c r="F155" s="20"/>
      <c r="G155" s="25">
        <f>450*3</f>
        <v>1350</v>
      </c>
    </row>
    <row r="156" spans="1:7">
      <c r="A156" s="22"/>
      <c r="B156" s="24" t="s">
        <v>122</v>
      </c>
      <c r="C156" s="24"/>
      <c r="D156" s="20"/>
      <c r="E156" s="20"/>
      <c r="F156" s="20"/>
      <c r="G156" s="25">
        <f>455.42*3</f>
        <v>1366.26</v>
      </c>
    </row>
    <row r="157" spans="1:7">
      <c r="A157" s="22"/>
      <c r="B157" s="24" t="s">
        <v>137</v>
      </c>
      <c r="C157" s="24"/>
      <c r="D157" s="20"/>
      <c r="E157" s="20"/>
      <c r="F157" s="20"/>
      <c r="G157" s="25">
        <f>367*3</f>
        <v>1101</v>
      </c>
    </row>
    <row r="158" spans="1:7">
      <c r="A158" s="22"/>
      <c r="B158" s="24" t="s">
        <v>107</v>
      </c>
      <c r="C158" s="24"/>
      <c r="D158" s="20"/>
      <c r="E158" s="20"/>
      <c r="F158" s="20"/>
      <c r="G158" s="26">
        <f>24632*2</f>
        <v>49264</v>
      </c>
    </row>
    <row r="159" spans="1:7">
      <c r="A159" s="22"/>
      <c r="B159" s="20"/>
      <c r="C159" s="24"/>
      <c r="D159" s="20"/>
      <c r="E159" s="20"/>
      <c r="F159" s="20"/>
      <c r="G159" s="23"/>
    </row>
    <row r="160" spans="1:7">
      <c r="A160" s="22"/>
      <c r="B160" s="20"/>
      <c r="C160" s="24"/>
      <c r="D160" s="20"/>
      <c r="E160" s="20"/>
      <c r="F160" s="28" t="s">
        <v>148</v>
      </c>
      <c r="G160" s="27">
        <f>SUM(G143:G159)</f>
        <v>94743.16</v>
      </c>
    </row>
    <row r="161" spans="1:7">
      <c r="A161" s="22"/>
      <c r="B161" s="28"/>
      <c r="C161" s="20"/>
      <c r="D161" s="20"/>
      <c r="E161" s="20"/>
      <c r="F161" s="20"/>
      <c r="G161" s="23"/>
    </row>
    <row r="162" spans="1:7">
      <c r="A162" s="22"/>
      <c r="B162" s="20"/>
      <c r="C162" s="20"/>
      <c r="D162" s="20"/>
      <c r="E162" s="20"/>
      <c r="F162" s="20"/>
      <c r="G162" s="23"/>
    </row>
    <row r="163" spans="1:7">
      <c r="A163" s="22"/>
      <c r="B163" s="28" t="s">
        <v>146</v>
      </c>
      <c r="C163" s="20"/>
      <c r="D163" s="20"/>
      <c r="E163" s="20"/>
      <c r="F163" s="20"/>
      <c r="G163" s="25">
        <f>32441.29+44969.23+31845.08</f>
        <v>109255.6</v>
      </c>
    </row>
    <row r="164" spans="1:7">
      <c r="A164" s="22"/>
      <c r="B164" s="20"/>
      <c r="C164" s="20"/>
      <c r="D164" s="20"/>
      <c r="E164" s="20"/>
      <c r="F164" s="20"/>
      <c r="G164" s="23"/>
    </row>
    <row r="165" spans="1:7">
      <c r="A165" s="29"/>
      <c r="B165" s="30" t="s">
        <v>147</v>
      </c>
      <c r="C165" s="31"/>
      <c r="D165" s="31"/>
      <c r="E165" s="31"/>
      <c r="F165" s="31"/>
      <c r="G165" s="32">
        <f>+G163/G160</f>
        <v>1.1531766514859754</v>
      </c>
    </row>
  </sheetData>
  <phoneticPr fontId="0" type="noConversion"/>
  <pageMargins left="0.75" right="0.75" top="1" bottom="1" header="0.25" footer="0.5"/>
  <pageSetup orientation="portrait" verticalDpi="0" r:id="rId1"/>
  <headerFooter alignWithMargins="0">
    <oddHeader>&amp;L&amp;"Arial,Bold"&amp;8 2:52 PM
&amp;"Arial,Bold"&amp;8 04/28/08
&amp;"Arial,Bold"&amp;8 Accrual Basis&amp;C&amp;"Arial,Bold"&amp;12 Torii Mor Winery, LLC
&amp;"Arial,Bold"&amp;14 Balance Sheet
&amp;"Arial,Bold"&amp;10 As of March 31, 2008</oddHeader>
    <oddFooter>&amp;R&amp;"Arial,Bold"&amp;8 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G162"/>
  <sheetViews>
    <sheetView workbookViewId="0">
      <pane xSplit="6" ySplit="1" topLeftCell="G161" activePane="bottomRight" state="frozenSplit"/>
      <selection pane="topRight" activeCell="G1" sqref="G1"/>
      <selection pane="bottomLeft" activeCell="A2" sqref="A2"/>
      <selection pane="bottomRight" activeCell="M163" sqref="M163"/>
    </sheetView>
  </sheetViews>
  <sheetFormatPr defaultRowHeight="12.75"/>
  <cols>
    <col min="1" max="5" width="3" style="10" customWidth="1"/>
    <col min="6" max="6" width="31.5703125" style="10" customWidth="1"/>
    <col min="7" max="7" width="14.5703125" style="11" customWidth="1"/>
  </cols>
  <sheetData>
    <row r="1" spans="1:7" s="9" customFormat="1" ht="13.5" thickBot="1">
      <c r="A1" s="7"/>
      <c r="B1" s="7"/>
      <c r="C1" s="7"/>
      <c r="D1" s="7"/>
      <c r="E1" s="7"/>
      <c r="F1" s="7"/>
      <c r="G1" s="8" t="s">
        <v>132</v>
      </c>
    </row>
    <row r="2" spans="1:7" ht="13.5" thickTop="1">
      <c r="A2" s="1" t="s">
        <v>0</v>
      </c>
      <c r="B2" s="1"/>
      <c r="C2" s="1"/>
      <c r="D2" s="1"/>
      <c r="E2" s="1"/>
      <c r="F2" s="1"/>
      <c r="G2" s="2"/>
    </row>
    <row r="3" spans="1:7">
      <c r="A3" s="1"/>
      <c r="B3" s="1" t="s">
        <v>1</v>
      </c>
      <c r="C3" s="1"/>
      <c r="D3" s="1"/>
      <c r="E3" s="1"/>
      <c r="F3" s="1"/>
      <c r="G3" s="2"/>
    </row>
    <row r="4" spans="1:7">
      <c r="A4" s="1"/>
      <c r="B4" s="1"/>
      <c r="C4" s="1" t="s">
        <v>2</v>
      </c>
      <c r="D4" s="1"/>
      <c r="E4" s="1"/>
      <c r="F4" s="1"/>
      <c r="G4" s="2"/>
    </row>
    <row r="5" spans="1:7">
      <c r="A5" s="1"/>
      <c r="B5" s="1"/>
      <c r="C5" s="1"/>
      <c r="D5" s="1" t="s">
        <v>3</v>
      </c>
      <c r="E5" s="1"/>
      <c r="F5" s="1"/>
      <c r="G5" s="2">
        <v>2762.12</v>
      </c>
    </row>
    <row r="6" spans="1:7">
      <c r="A6" s="1"/>
      <c r="B6" s="1"/>
      <c r="C6" s="1"/>
      <c r="D6" s="1" t="s">
        <v>4</v>
      </c>
      <c r="E6" s="1"/>
      <c r="F6" s="1"/>
      <c r="G6" s="2">
        <v>200</v>
      </c>
    </row>
    <row r="7" spans="1:7" ht="13.5" thickBot="1">
      <c r="A7" s="1"/>
      <c r="B7" s="1"/>
      <c r="C7" s="1"/>
      <c r="D7" s="1" t="s">
        <v>5</v>
      </c>
      <c r="E7" s="1"/>
      <c r="F7" s="1"/>
      <c r="G7" s="3">
        <v>103.46</v>
      </c>
    </row>
    <row r="8" spans="1:7">
      <c r="A8" s="1"/>
      <c r="B8" s="1"/>
      <c r="C8" s="1" t="s">
        <v>6</v>
      </c>
      <c r="D8" s="1"/>
      <c r="E8" s="1"/>
      <c r="F8" s="1"/>
      <c r="G8" s="2">
        <f>ROUND(SUM(G4:G7),5)</f>
        <v>3065.58</v>
      </c>
    </row>
    <row r="9" spans="1:7" ht="26.45" customHeight="1">
      <c r="A9" s="1"/>
      <c r="B9" s="1"/>
      <c r="C9" s="1" t="s">
        <v>7</v>
      </c>
      <c r="D9" s="1"/>
      <c r="E9" s="1"/>
      <c r="F9" s="1"/>
      <c r="G9" s="2"/>
    </row>
    <row r="10" spans="1:7" ht="13.5" thickBot="1">
      <c r="A10" s="1"/>
      <c r="B10" s="1"/>
      <c r="C10" s="1"/>
      <c r="D10" s="1" t="s">
        <v>8</v>
      </c>
      <c r="E10" s="1"/>
      <c r="F10" s="1"/>
      <c r="G10" s="3">
        <v>267820.2</v>
      </c>
    </row>
    <row r="11" spans="1:7">
      <c r="A11" s="1"/>
      <c r="B11" s="1"/>
      <c r="C11" s="1" t="s">
        <v>9</v>
      </c>
      <c r="D11" s="1"/>
      <c r="E11" s="1"/>
      <c r="F11" s="1"/>
      <c r="G11" s="2">
        <f>ROUND(SUM(G9:G10),5)</f>
        <v>267820.2</v>
      </c>
    </row>
    <row r="12" spans="1:7" ht="26.45" customHeight="1">
      <c r="A12" s="1"/>
      <c r="B12" s="1"/>
      <c r="C12" s="1" t="s">
        <v>10</v>
      </c>
      <c r="D12" s="1"/>
      <c r="E12" s="1"/>
      <c r="F12" s="1"/>
      <c r="G12" s="2"/>
    </row>
    <row r="13" spans="1:7">
      <c r="A13" s="1"/>
      <c r="B13" s="1"/>
      <c r="C13" s="1"/>
      <c r="D13" s="1" t="s">
        <v>11</v>
      </c>
      <c r="E13" s="1"/>
      <c r="F13" s="1"/>
      <c r="G13" s="2">
        <v>-2704</v>
      </c>
    </row>
    <row r="14" spans="1:7">
      <c r="A14" s="1"/>
      <c r="B14" s="1"/>
      <c r="C14" s="1"/>
      <c r="D14" s="1" t="s">
        <v>12</v>
      </c>
      <c r="E14" s="1"/>
      <c r="F14" s="1"/>
      <c r="G14" s="2">
        <v>23514.92</v>
      </c>
    </row>
    <row r="15" spans="1:7">
      <c r="A15" s="1"/>
      <c r="B15" s="1"/>
      <c r="C15" s="1"/>
      <c r="D15" s="1" t="s">
        <v>13</v>
      </c>
      <c r="E15" s="1"/>
      <c r="F15" s="1"/>
      <c r="G15" s="2"/>
    </row>
    <row r="16" spans="1:7">
      <c r="A16" s="1"/>
      <c r="B16" s="1"/>
      <c r="C16" s="1"/>
      <c r="D16" s="1"/>
      <c r="E16" s="1" t="s">
        <v>14</v>
      </c>
      <c r="F16" s="1"/>
      <c r="G16" s="2">
        <v>29653.040000000001</v>
      </c>
    </row>
    <row r="17" spans="1:7">
      <c r="A17" s="1"/>
      <c r="B17" s="1"/>
      <c r="C17" s="1"/>
      <c r="D17" s="1"/>
      <c r="E17" s="1" t="s">
        <v>15</v>
      </c>
      <c r="F17" s="1"/>
      <c r="G17" s="2">
        <v>1431901.63</v>
      </c>
    </row>
    <row r="18" spans="1:7" ht="13.5" thickBot="1">
      <c r="A18" s="1"/>
      <c r="B18" s="1"/>
      <c r="C18" s="1"/>
      <c r="D18" s="1"/>
      <c r="E18" s="1" t="s">
        <v>133</v>
      </c>
      <c r="F18" s="1"/>
      <c r="G18" s="3">
        <v>779591.63</v>
      </c>
    </row>
    <row r="19" spans="1:7">
      <c r="A19" s="1"/>
      <c r="B19" s="1"/>
      <c r="C19" s="1"/>
      <c r="D19" s="1" t="s">
        <v>16</v>
      </c>
      <c r="E19" s="1"/>
      <c r="F19" s="1"/>
      <c r="G19" s="2">
        <f>ROUND(SUM(G15:G18),5)</f>
        <v>2241146.2999999998</v>
      </c>
    </row>
    <row r="20" spans="1:7" ht="26.45" customHeight="1" thickBot="1">
      <c r="A20" s="1"/>
      <c r="B20" s="1"/>
      <c r="C20" s="1"/>
      <c r="D20" s="1" t="s">
        <v>18</v>
      </c>
      <c r="E20" s="1"/>
      <c r="F20" s="1"/>
      <c r="G20" s="3">
        <v>3000</v>
      </c>
    </row>
    <row r="21" spans="1:7" ht="13.5" thickBot="1">
      <c r="A21" s="1"/>
      <c r="B21" s="1"/>
      <c r="C21" s="1" t="s">
        <v>19</v>
      </c>
      <c r="D21" s="1"/>
      <c r="E21" s="1"/>
      <c r="F21" s="1"/>
      <c r="G21" s="4">
        <f>ROUND(SUM(G12:G14)+SUM(G19:G20),5)</f>
        <v>2264957.2200000002</v>
      </c>
    </row>
    <row r="22" spans="1:7" ht="26.45" customHeight="1">
      <c r="A22" s="1"/>
      <c r="B22" s="1" t="s">
        <v>20</v>
      </c>
      <c r="C22" s="1"/>
      <c r="D22" s="1"/>
      <c r="E22" s="1"/>
      <c r="F22" s="1"/>
      <c r="G22" s="2">
        <f>ROUND(G3+G8+G11+G21,5)</f>
        <v>2535843</v>
      </c>
    </row>
    <row r="23" spans="1:7" ht="26.45" customHeight="1">
      <c r="A23" s="1"/>
      <c r="B23" s="1" t="s">
        <v>21</v>
      </c>
      <c r="C23" s="1"/>
      <c r="D23" s="1"/>
      <c r="E23" s="1"/>
      <c r="F23" s="1"/>
      <c r="G23" s="2"/>
    </row>
    <row r="24" spans="1:7">
      <c r="A24" s="1"/>
      <c r="B24" s="1"/>
      <c r="C24" s="1" t="s">
        <v>126</v>
      </c>
      <c r="D24" s="1"/>
      <c r="E24" s="1"/>
      <c r="F24" s="1"/>
      <c r="G24" s="2">
        <v>1006.99</v>
      </c>
    </row>
    <row r="25" spans="1:7">
      <c r="A25" s="1"/>
      <c r="B25" s="1"/>
      <c r="C25" s="1" t="s">
        <v>134</v>
      </c>
      <c r="D25" s="1"/>
      <c r="E25" s="1"/>
      <c r="F25" s="1"/>
      <c r="G25" s="2">
        <v>1280</v>
      </c>
    </row>
    <row r="26" spans="1:7">
      <c r="A26" s="1"/>
      <c r="B26" s="1"/>
      <c r="C26" s="1" t="s">
        <v>127</v>
      </c>
      <c r="D26" s="1"/>
      <c r="E26" s="1"/>
      <c r="F26" s="1"/>
      <c r="G26" s="2">
        <v>14186.98</v>
      </c>
    </row>
    <row r="27" spans="1:7">
      <c r="A27" s="1"/>
      <c r="B27" s="1"/>
      <c r="C27" s="1" t="s">
        <v>100</v>
      </c>
      <c r="D27" s="1"/>
      <c r="E27" s="1"/>
      <c r="F27" s="1"/>
      <c r="G27" s="2">
        <v>34680.49</v>
      </c>
    </row>
    <row r="28" spans="1:7">
      <c r="A28" s="1"/>
      <c r="B28" s="1"/>
      <c r="C28" s="1" t="s">
        <v>117</v>
      </c>
      <c r="D28" s="1"/>
      <c r="E28" s="1"/>
      <c r="F28" s="1"/>
      <c r="G28" s="2">
        <v>18672.099999999999</v>
      </c>
    </row>
    <row r="29" spans="1:7">
      <c r="A29" s="1"/>
      <c r="B29" s="1"/>
      <c r="C29" s="1" t="s">
        <v>114</v>
      </c>
      <c r="D29" s="1"/>
      <c r="E29" s="1"/>
      <c r="F29" s="1"/>
      <c r="G29" s="2">
        <v>351.98</v>
      </c>
    </row>
    <row r="30" spans="1:7">
      <c r="A30" s="1"/>
      <c r="B30" s="1"/>
      <c r="C30" s="1" t="s">
        <v>112</v>
      </c>
      <c r="D30" s="1"/>
      <c r="E30" s="1"/>
      <c r="F30" s="1"/>
      <c r="G30" s="2">
        <v>4324.58</v>
      </c>
    </row>
    <row r="31" spans="1:7">
      <c r="A31" s="1"/>
      <c r="B31" s="1"/>
      <c r="C31" s="1" t="s">
        <v>22</v>
      </c>
      <c r="D31" s="1"/>
      <c r="E31" s="1"/>
      <c r="F31" s="1"/>
      <c r="G31" s="2">
        <v>582610.63</v>
      </c>
    </row>
    <row r="32" spans="1:7">
      <c r="A32" s="1"/>
      <c r="B32" s="1"/>
      <c r="C32" s="1" t="s">
        <v>23</v>
      </c>
      <c r="D32" s="1"/>
      <c r="E32" s="1"/>
      <c r="F32" s="1"/>
      <c r="G32" s="2">
        <v>38988</v>
      </c>
    </row>
    <row r="33" spans="1:7">
      <c r="A33" s="1"/>
      <c r="B33" s="1"/>
      <c r="C33" s="1" t="s">
        <v>24</v>
      </c>
      <c r="D33" s="1"/>
      <c r="E33" s="1"/>
      <c r="F33" s="1"/>
      <c r="G33" s="2">
        <v>383357</v>
      </c>
    </row>
    <row r="34" spans="1:7">
      <c r="A34" s="1"/>
      <c r="B34" s="1"/>
      <c r="C34" s="1" t="s">
        <v>25</v>
      </c>
      <c r="D34" s="1"/>
      <c r="E34" s="1"/>
      <c r="F34" s="1"/>
      <c r="G34" s="2">
        <v>444992.38</v>
      </c>
    </row>
    <row r="35" spans="1:7">
      <c r="A35" s="1"/>
      <c r="B35" s="1"/>
      <c r="C35" s="1" t="s">
        <v>108</v>
      </c>
      <c r="D35" s="1"/>
      <c r="E35" s="1"/>
      <c r="F35" s="1"/>
      <c r="G35" s="2">
        <v>6635</v>
      </c>
    </row>
    <row r="36" spans="1:7">
      <c r="A36" s="1"/>
      <c r="B36" s="1"/>
      <c r="C36" s="1" t="s">
        <v>26</v>
      </c>
      <c r="D36" s="1"/>
      <c r="E36" s="1"/>
      <c r="F36" s="1"/>
      <c r="G36" s="2"/>
    </row>
    <row r="37" spans="1:7">
      <c r="A37" s="1"/>
      <c r="B37" s="1"/>
      <c r="C37" s="1"/>
      <c r="D37" s="1" t="s">
        <v>27</v>
      </c>
      <c r="E37" s="1"/>
      <c r="F37" s="1"/>
      <c r="G37" s="2">
        <v>34953</v>
      </c>
    </row>
    <row r="38" spans="1:7" ht="13.5" thickBot="1">
      <c r="A38" s="1"/>
      <c r="B38" s="1"/>
      <c r="C38" s="1"/>
      <c r="D38" s="1" t="s">
        <v>28</v>
      </c>
      <c r="E38" s="1"/>
      <c r="F38" s="1"/>
      <c r="G38" s="3">
        <v>12439.3</v>
      </c>
    </row>
    <row r="39" spans="1:7">
      <c r="A39" s="1"/>
      <c r="B39" s="1"/>
      <c r="C39" s="1" t="s">
        <v>29</v>
      </c>
      <c r="D39" s="1"/>
      <c r="E39" s="1"/>
      <c r="F39" s="1"/>
      <c r="G39" s="2">
        <f>ROUND(SUM(G36:G38),5)</f>
        <v>47392.3</v>
      </c>
    </row>
    <row r="40" spans="1:7" ht="26.45" customHeight="1">
      <c r="A40" s="1"/>
      <c r="B40" s="1"/>
      <c r="C40" s="1" t="s">
        <v>30</v>
      </c>
      <c r="D40" s="1"/>
      <c r="E40" s="1"/>
      <c r="F40" s="1"/>
      <c r="G40" s="2">
        <v>111568.96000000001</v>
      </c>
    </row>
    <row r="41" spans="1:7">
      <c r="A41" s="1"/>
      <c r="B41" s="1"/>
      <c r="C41" s="1" t="s">
        <v>128</v>
      </c>
      <c r="D41" s="1"/>
      <c r="E41" s="1"/>
      <c r="F41" s="1"/>
      <c r="G41" s="2">
        <v>512647</v>
      </c>
    </row>
    <row r="42" spans="1:7">
      <c r="A42" s="1"/>
      <c r="B42" s="1"/>
      <c r="C42" s="1" t="s">
        <v>31</v>
      </c>
      <c r="D42" s="1"/>
      <c r="E42" s="1"/>
      <c r="F42" s="1"/>
      <c r="G42" s="2"/>
    </row>
    <row r="43" spans="1:7">
      <c r="A43" s="1"/>
      <c r="B43" s="1"/>
      <c r="C43" s="1"/>
      <c r="D43" s="1" t="s">
        <v>123</v>
      </c>
      <c r="E43" s="1"/>
      <c r="F43" s="1"/>
      <c r="G43" s="2">
        <v>9500</v>
      </c>
    </row>
    <row r="44" spans="1:7">
      <c r="A44" s="1"/>
      <c r="B44" s="1"/>
      <c r="C44" s="1"/>
      <c r="D44" s="1" t="s">
        <v>129</v>
      </c>
      <c r="E44" s="1"/>
      <c r="F44" s="1"/>
      <c r="G44" s="2">
        <v>29378.97</v>
      </c>
    </row>
    <row r="45" spans="1:7">
      <c r="A45" s="1"/>
      <c r="B45" s="1"/>
      <c r="C45" s="1"/>
      <c r="D45" s="1" t="s">
        <v>32</v>
      </c>
      <c r="E45" s="1"/>
      <c r="F45" s="1"/>
      <c r="G45" s="2"/>
    </row>
    <row r="46" spans="1:7">
      <c r="A46" s="1"/>
      <c r="B46" s="1"/>
      <c r="C46" s="1"/>
      <c r="D46" s="1"/>
      <c r="E46" s="1" t="s">
        <v>106</v>
      </c>
      <c r="F46" s="1"/>
      <c r="G46" s="2">
        <v>137543.35</v>
      </c>
    </row>
    <row r="47" spans="1:7">
      <c r="A47" s="1"/>
      <c r="B47" s="1"/>
      <c r="C47" s="1"/>
      <c r="D47" s="1"/>
      <c r="E47" s="1" t="s">
        <v>118</v>
      </c>
      <c r="F47" s="1"/>
      <c r="G47" s="2">
        <v>5151.63</v>
      </c>
    </row>
    <row r="48" spans="1:7">
      <c r="A48" s="1"/>
      <c r="B48" s="1"/>
      <c r="C48" s="1"/>
      <c r="D48" s="1"/>
      <c r="E48" s="1" t="s">
        <v>102</v>
      </c>
      <c r="F48" s="1"/>
      <c r="G48" s="2">
        <v>22399.919999999998</v>
      </c>
    </row>
    <row r="49" spans="1:7" ht="13.5" thickBot="1">
      <c r="A49" s="1"/>
      <c r="B49" s="1"/>
      <c r="C49" s="1"/>
      <c r="D49" s="1"/>
      <c r="E49" s="1" t="s">
        <v>103</v>
      </c>
      <c r="F49" s="1"/>
      <c r="G49" s="3">
        <v>2383198.2000000002</v>
      </c>
    </row>
    <row r="50" spans="1:7" ht="13.5" thickBot="1">
      <c r="A50" s="1"/>
      <c r="B50" s="1"/>
      <c r="C50" s="1"/>
      <c r="D50" s="1" t="s">
        <v>104</v>
      </c>
      <c r="E50" s="1"/>
      <c r="F50" s="1"/>
      <c r="G50" s="4">
        <f>ROUND(SUM(G45:G49),5)</f>
        <v>2548293.1</v>
      </c>
    </row>
    <row r="51" spans="1:7" ht="26.45" customHeight="1">
      <c r="A51" s="1"/>
      <c r="B51" s="1"/>
      <c r="C51" s="1" t="s">
        <v>33</v>
      </c>
      <c r="D51" s="1"/>
      <c r="E51" s="1"/>
      <c r="F51" s="1"/>
      <c r="G51" s="2">
        <f>ROUND(SUM(G42:G44)+G50,5)</f>
        <v>2587172.0699999998</v>
      </c>
    </row>
    <row r="52" spans="1:7" ht="26.45" customHeight="1">
      <c r="A52" s="1"/>
      <c r="B52" s="1"/>
      <c r="C52" s="1" t="s">
        <v>34</v>
      </c>
      <c r="D52" s="1"/>
      <c r="E52" s="1"/>
      <c r="F52" s="1"/>
      <c r="G52" s="2">
        <v>106642.21</v>
      </c>
    </row>
    <row r="53" spans="1:7">
      <c r="A53" s="1"/>
      <c r="B53" s="1"/>
      <c r="C53" s="1" t="s">
        <v>35</v>
      </c>
      <c r="D53" s="1"/>
      <c r="E53" s="1"/>
      <c r="F53" s="1"/>
      <c r="G53" s="2">
        <v>17588.5</v>
      </c>
    </row>
    <row r="54" spans="1:7">
      <c r="A54" s="1"/>
      <c r="B54" s="1"/>
      <c r="C54" s="1" t="s">
        <v>36</v>
      </c>
      <c r="D54" s="1"/>
      <c r="E54" s="1"/>
      <c r="F54" s="1"/>
      <c r="G54" s="2"/>
    </row>
    <row r="55" spans="1:7">
      <c r="A55" s="1"/>
      <c r="B55" s="1"/>
      <c r="C55" s="1"/>
      <c r="D55" s="1" t="s">
        <v>37</v>
      </c>
      <c r="E55" s="1"/>
      <c r="F55" s="1"/>
      <c r="G55" s="2">
        <v>45320.29</v>
      </c>
    </row>
    <row r="56" spans="1:7" ht="13.5" thickBot="1">
      <c r="A56" s="1"/>
      <c r="B56" s="1"/>
      <c r="C56" s="1"/>
      <c r="D56" s="1" t="s">
        <v>109</v>
      </c>
      <c r="E56" s="1"/>
      <c r="F56" s="1"/>
      <c r="G56" s="3">
        <v>758</v>
      </c>
    </row>
    <row r="57" spans="1:7">
      <c r="A57" s="1"/>
      <c r="B57" s="1"/>
      <c r="C57" s="1" t="s">
        <v>38</v>
      </c>
      <c r="D57" s="1"/>
      <c r="E57" s="1"/>
      <c r="F57" s="1"/>
      <c r="G57" s="2">
        <f>ROUND(SUM(G54:G56),5)</f>
        <v>46078.29</v>
      </c>
    </row>
    <row r="58" spans="1:7" ht="26.45" customHeight="1">
      <c r="A58" s="1"/>
      <c r="B58" s="1"/>
      <c r="C58" s="1" t="s">
        <v>124</v>
      </c>
      <c r="D58" s="1"/>
      <c r="E58" s="1"/>
      <c r="F58" s="1"/>
      <c r="G58" s="2">
        <v>550</v>
      </c>
    </row>
    <row r="59" spans="1:7">
      <c r="A59" s="1"/>
      <c r="B59" s="1"/>
      <c r="C59" s="1" t="s">
        <v>39</v>
      </c>
      <c r="D59" s="1"/>
      <c r="E59" s="1"/>
      <c r="F59" s="1"/>
      <c r="G59" s="2">
        <v>168547.5</v>
      </c>
    </row>
    <row r="60" spans="1:7">
      <c r="A60" s="1"/>
      <c r="B60" s="1"/>
      <c r="C60" s="1" t="s">
        <v>97</v>
      </c>
      <c r="D60" s="1"/>
      <c r="E60" s="1"/>
      <c r="F60" s="1"/>
      <c r="G60" s="2">
        <v>87843.74</v>
      </c>
    </row>
    <row r="61" spans="1:7" ht="13.5" thickBot="1">
      <c r="A61" s="1"/>
      <c r="B61" s="1"/>
      <c r="C61" s="1" t="s">
        <v>40</v>
      </c>
      <c r="D61" s="1"/>
      <c r="E61" s="1"/>
      <c r="F61" s="1"/>
      <c r="G61" s="3">
        <v>-602152</v>
      </c>
    </row>
    <row r="62" spans="1:7">
      <c r="A62" s="1"/>
      <c r="B62" s="1" t="s">
        <v>41</v>
      </c>
      <c r="C62" s="1"/>
      <c r="D62" s="1"/>
      <c r="E62" s="1"/>
      <c r="F62" s="1"/>
      <c r="G62" s="2">
        <f>ROUND(SUM(G23:G35)+SUM(G39:G41)+SUM(G51:G53)+SUM(G57:G61),5)</f>
        <v>4614964.7</v>
      </c>
    </row>
    <row r="63" spans="1:7" ht="26.45" customHeight="1">
      <c r="A63" s="1"/>
      <c r="B63" s="1" t="s">
        <v>42</v>
      </c>
      <c r="C63" s="1"/>
      <c r="D63" s="1"/>
      <c r="E63" s="1"/>
      <c r="F63" s="1"/>
      <c r="G63" s="2"/>
    </row>
    <row r="64" spans="1:7">
      <c r="A64" s="1"/>
      <c r="B64" s="1"/>
      <c r="C64" s="1" t="s">
        <v>43</v>
      </c>
      <c r="D64" s="1"/>
      <c r="E64" s="1"/>
      <c r="F64" s="1"/>
      <c r="G64" s="2">
        <v>62588.07</v>
      </c>
    </row>
    <row r="65" spans="1:7">
      <c r="A65" s="1"/>
      <c r="B65" s="1"/>
      <c r="C65" s="1" t="s">
        <v>98</v>
      </c>
      <c r="D65" s="1"/>
      <c r="E65" s="1"/>
      <c r="F65" s="1"/>
      <c r="G65" s="2">
        <v>71228.42</v>
      </c>
    </row>
    <row r="66" spans="1:7">
      <c r="A66" s="1"/>
      <c r="B66" s="1"/>
      <c r="C66" s="1" t="s">
        <v>44</v>
      </c>
      <c r="D66" s="1"/>
      <c r="E66" s="1"/>
      <c r="F66" s="1"/>
      <c r="G66" s="2">
        <v>-3147</v>
      </c>
    </row>
    <row r="67" spans="1:7" ht="13.5" thickBot="1">
      <c r="A67" s="1"/>
      <c r="B67" s="1"/>
      <c r="C67" s="1" t="s">
        <v>45</v>
      </c>
      <c r="D67" s="1"/>
      <c r="E67" s="1"/>
      <c r="F67" s="1"/>
      <c r="G67" s="3">
        <v>402</v>
      </c>
    </row>
    <row r="68" spans="1:7" ht="13.5" thickBot="1">
      <c r="A68" s="1"/>
      <c r="B68" s="1" t="s">
        <v>46</v>
      </c>
      <c r="C68" s="1"/>
      <c r="D68" s="1"/>
      <c r="E68" s="1"/>
      <c r="F68" s="1"/>
      <c r="G68" s="4">
        <f>ROUND(SUM(G63:G67),5)</f>
        <v>131071.49</v>
      </c>
    </row>
    <row r="69" spans="1:7" s="6" customFormat="1" ht="26.45" customHeight="1" thickBot="1">
      <c r="A69" s="1" t="s">
        <v>47</v>
      </c>
      <c r="B69" s="1"/>
      <c r="C69" s="1"/>
      <c r="D69" s="1"/>
      <c r="E69" s="1"/>
      <c r="F69" s="1"/>
      <c r="G69" s="5">
        <f>ROUND(G2+G22+G62+G68,5)</f>
        <v>7281879.1900000004</v>
      </c>
    </row>
    <row r="70" spans="1:7" ht="27.6" customHeight="1" thickTop="1">
      <c r="A70" s="1" t="s">
        <v>48</v>
      </c>
      <c r="B70" s="1"/>
      <c r="C70" s="1"/>
      <c r="D70" s="1"/>
      <c r="E70" s="1"/>
      <c r="F70" s="1"/>
      <c r="G70" s="2"/>
    </row>
    <row r="71" spans="1:7">
      <c r="A71" s="1"/>
      <c r="B71" s="1" t="s">
        <v>49</v>
      </c>
      <c r="C71" s="1"/>
      <c r="D71" s="1"/>
      <c r="E71" s="1"/>
      <c r="F71" s="1"/>
      <c r="G71" s="2"/>
    </row>
    <row r="72" spans="1:7">
      <c r="A72" s="1"/>
      <c r="B72" s="1"/>
      <c r="C72" s="1" t="s">
        <v>50</v>
      </c>
      <c r="D72" s="1"/>
      <c r="E72" s="1"/>
      <c r="F72" s="1"/>
      <c r="G72" s="2"/>
    </row>
    <row r="73" spans="1:7">
      <c r="A73" s="1"/>
      <c r="B73" s="1"/>
      <c r="C73" s="1"/>
      <c r="D73" s="1" t="s">
        <v>51</v>
      </c>
      <c r="E73" s="1"/>
      <c r="F73" s="1"/>
      <c r="G73" s="2"/>
    </row>
    <row r="74" spans="1:7">
      <c r="A74" s="1"/>
      <c r="B74" s="1"/>
      <c r="C74" s="1"/>
      <c r="D74" s="1"/>
      <c r="E74" s="1" t="s">
        <v>52</v>
      </c>
      <c r="F74" s="1"/>
      <c r="G74" s="2">
        <v>-389787.06</v>
      </c>
    </row>
    <row r="75" spans="1:7">
      <c r="A75" s="1"/>
      <c r="B75" s="1"/>
      <c r="C75" s="1"/>
      <c r="D75" s="1"/>
      <c r="E75" s="1" t="s">
        <v>53</v>
      </c>
      <c r="F75" s="1"/>
      <c r="G75" s="2">
        <v>398720.45</v>
      </c>
    </row>
    <row r="76" spans="1:7">
      <c r="A76" s="1"/>
      <c r="B76" s="1"/>
      <c r="C76" s="1"/>
      <c r="D76" s="1"/>
      <c r="E76" s="1" t="s">
        <v>54</v>
      </c>
      <c r="F76" s="1"/>
      <c r="G76" s="2">
        <v>169284.9</v>
      </c>
    </row>
    <row r="77" spans="1:7" ht="13.5" thickBot="1">
      <c r="A77" s="1"/>
      <c r="B77" s="1"/>
      <c r="C77" s="1"/>
      <c r="D77" s="1"/>
      <c r="E77" s="1" t="s">
        <v>113</v>
      </c>
      <c r="F77" s="1"/>
      <c r="G77" s="3">
        <v>41410.300000000003</v>
      </c>
    </row>
    <row r="78" spans="1:7">
      <c r="A78" s="1"/>
      <c r="B78" s="1"/>
      <c r="C78" s="1"/>
      <c r="D78" s="1" t="s">
        <v>55</v>
      </c>
      <c r="E78" s="1"/>
      <c r="F78" s="1"/>
      <c r="G78" s="2">
        <f>ROUND(SUM(G73:G77),5)</f>
        <v>219628.59</v>
      </c>
    </row>
    <row r="79" spans="1:7" ht="26.45" customHeight="1">
      <c r="A79" s="1"/>
      <c r="B79" s="1"/>
      <c r="C79" s="1"/>
      <c r="D79" s="1" t="s">
        <v>56</v>
      </c>
      <c r="E79" s="1"/>
      <c r="F79" s="1"/>
      <c r="G79" s="2"/>
    </row>
    <row r="80" spans="1:7">
      <c r="A80" s="1"/>
      <c r="B80" s="1"/>
      <c r="C80" s="1"/>
      <c r="D80" s="1"/>
      <c r="E80" s="1" t="s">
        <v>115</v>
      </c>
      <c r="F80" s="1"/>
      <c r="G80" s="2">
        <v>134.07</v>
      </c>
    </row>
    <row r="81" spans="1:7">
      <c r="A81" s="1"/>
      <c r="B81" s="1"/>
      <c r="C81" s="1"/>
      <c r="D81" s="1"/>
      <c r="E81" s="1" t="s">
        <v>57</v>
      </c>
      <c r="F81" s="1"/>
      <c r="G81" s="2">
        <v>387.79</v>
      </c>
    </row>
    <row r="82" spans="1:7">
      <c r="A82" s="1"/>
      <c r="B82" s="1"/>
      <c r="C82" s="1"/>
      <c r="D82" s="1"/>
      <c r="E82" s="1" t="s">
        <v>58</v>
      </c>
      <c r="F82" s="1"/>
      <c r="G82" s="2">
        <v>43.11</v>
      </c>
    </row>
    <row r="83" spans="1:7">
      <c r="A83" s="1"/>
      <c r="B83" s="1"/>
      <c r="C83" s="1"/>
      <c r="D83" s="1"/>
      <c r="E83" s="1" t="s">
        <v>59</v>
      </c>
      <c r="F83" s="1"/>
      <c r="G83" s="2">
        <v>404.89</v>
      </c>
    </row>
    <row r="84" spans="1:7" ht="13.5" thickBot="1">
      <c r="A84" s="1"/>
      <c r="B84" s="1"/>
      <c r="C84" s="1"/>
      <c r="D84" s="1"/>
      <c r="E84" s="1" t="s">
        <v>116</v>
      </c>
      <c r="F84" s="1"/>
      <c r="G84" s="3">
        <v>50.46</v>
      </c>
    </row>
    <row r="85" spans="1:7">
      <c r="A85" s="1"/>
      <c r="B85" s="1"/>
      <c r="C85" s="1"/>
      <c r="D85" s="1" t="s">
        <v>60</v>
      </c>
      <c r="E85" s="1"/>
      <c r="F85" s="1"/>
      <c r="G85" s="2">
        <f>ROUND(SUM(G79:G84),5)</f>
        <v>1020.32</v>
      </c>
    </row>
    <row r="86" spans="1:7" ht="26.45" customHeight="1">
      <c r="A86" s="1"/>
      <c r="B86" s="1"/>
      <c r="C86" s="1"/>
      <c r="D86" s="1" t="s">
        <v>61</v>
      </c>
      <c r="E86" s="1"/>
      <c r="F86" s="1"/>
      <c r="G86" s="2"/>
    </row>
    <row r="87" spans="1:7">
      <c r="A87" s="1"/>
      <c r="B87" s="1"/>
      <c r="C87" s="1"/>
      <c r="D87" s="1"/>
      <c r="E87" s="1" t="s">
        <v>125</v>
      </c>
      <c r="F87" s="1"/>
      <c r="G87" s="2">
        <v>334.67</v>
      </c>
    </row>
    <row r="88" spans="1:7">
      <c r="A88" s="1"/>
      <c r="B88" s="1"/>
      <c r="C88" s="1"/>
      <c r="D88" s="1"/>
      <c r="E88" s="1" t="s">
        <v>62</v>
      </c>
      <c r="F88" s="1"/>
      <c r="G88" s="2">
        <v>1248553.5</v>
      </c>
    </row>
    <row r="89" spans="1:7">
      <c r="A89" s="1"/>
      <c r="B89" s="1"/>
      <c r="C89" s="1"/>
      <c r="D89" s="1"/>
      <c r="E89" s="1" t="s">
        <v>63</v>
      </c>
      <c r="F89" s="1"/>
      <c r="G89" s="2">
        <v>201623.05</v>
      </c>
    </row>
    <row r="90" spans="1:7">
      <c r="A90" s="1"/>
      <c r="B90" s="1"/>
      <c r="C90" s="1"/>
      <c r="D90" s="1"/>
      <c r="E90" s="1" t="s">
        <v>135</v>
      </c>
      <c r="F90" s="1"/>
      <c r="G90" s="2">
        <v>12131.09</v>
      </c>
    </row>
    <row r="91" spans="1:7">
      <c r="A91" s="1"/>
      <c r="B91" s="1"/>
      <c r="C91" s="1"/>
      <c r="D91" s="1"/>
      <c r="E91" s="1" t="s">
        <v>64</v>
      </c>
      <c r="F91" s="1"/>
      <c r="G91" s="2"/>
    </row>
    <row r="92" spans="1:7">
      <c r="A92" s="1"/>
      <c r="B92" s="1"/>
      <c r="C92" s="1"/>
      <c r="D92" s="1"/>
      <c r="E92" s="1"/>
      <c r="F92" s="1" t="s">
        <v>65</v>
      </c>
      <c r="G92" s="2">
        <v>3703.98</v>
      </c>
    </row>
    <row r="93" spans="1:7">
      <c r="A93" s="1"/>
      <c r="B93" s="1"/>
      <c r="C93" s="1"/>
      <c r="D93" s="1"/>
      <c r="E93" s="1"/>
      <c r="F93" s="1" t="s">
        <v>66</v>
      </c>
      <c r="G93" s="2">
        <v>241.2</v>
      </c>
    </row>
    <row r="94" spans="1:7">
      <c r="A94" s="1"/>
      <c r="B94" s="1"/>
      <c r="C94" s="1"/>
      <c r="D94" s="1"/>
      <c r="E94" s="1"/>
      <c r="F94" s="1" t="s">
        <v>67</v>
      </c>
      <c r="G94" s="2">
        <v>2049</v>
      </c>
    </row>
    <row r="95" spans="1:7">
      <c r="A95" s="1"/>
      <c r="B95" s="1"/>
      <c r="C95" s="1"/>
      <c r="D95" s="1"/>
      <c r="E95" s="1"/>
      <c r="F95" s="1" t="s">
        <v>68</v>
      </c>
      <c r="G95" s="2">
        <v>1516.17</v>
      </c>
    </row>
    <row r="96" spans="1:7">
      <c r="A96" s="1"/>
      <c r="B96" s="1"/>
      <c r="C96" s="1"/>
      <c r="D96" s="1"/>
      <c r="E96" s="1"/>
      <c r="F96" s="1" t="s">
        <v>69</v>
      </c>
      <c r="G96" s="2">
        <v>241.98</v>
      </c>
    </row>
    <row r="97" spans="1:7">
      <c r="A97" s="1"/>
      <c r="B97" s="1"/>
      <c r="C97" s="1"/>
      <c r="D97" s="1"/>
      <c r="E97" s="1"/>
      <c r="F97" s="1" t="s">
        <v>70</v>
      </c>
      <c r="G97" s="2">
        <v>2090.4499999999998</v>
      </c>
    </row>
    <row r="98" spans="1:7" ht="13.5" thickBot="1">
      <c r="A98" s="1"/>
      <c r="B98" s="1"/>
      <c r="C98" s="1"/>
      <c r="D98" s="1"/>
      <c r="E98" s="1"/>
      <c r="F98" s="1" t="s">
        <v>136</v>
      </c>
      <c r="G98" s="3">
        <v>7.58</v>
      </c>
    </row>
    <row r="99" spans="1:7">
      <c r="A99" s="1"/>
      <c r="B99" s="1"/>
      <c r="C99" s="1"/>
      <c r="D99" s="1"/>
      <c r="E99" s="1" t="s">
        <v>71</v>
      </c>
      <c r="F99" s="1"/>
      <c r="G99" s="2">
        <f>ROUND(SUM(G91:G98),5)</f>
        <v>9850.36</v>
      </c>
    </row>
    <row r="100" spans="1:7" ht="26.45" customHeight="1" thickBot="1">
      <c r="A100" s="1"/>
      <c r="B100" s="1"/>
      <c r="C100" s="1"/>
      <c r="D100" s="1"/>
      <c r="E100" s="1" t="s">
        <v>72</v>
      </c>
      <c r="F100" s="1"/>
      <c r="G100" s="3">
        <v>17885.5</v>
      </c>
    </row>
    <row r="101" spans="1:7" ht="13.5" thickBot="1">
      <c r="A101" s="1"/>
      <c r="B101" s="1"/>
      <c r="C101" s="1"/>
      <c r="D101" s="1" t="s">
        <v>73</v>
      </c>
      <c r="E101" s="1"/>
      <c r="F101" s="1"/>
      <c r="G101" s="4">
        <f>ROUND(SUM(G86:G90)+SUM(G99:G100),5)</f>
        <v>1490378.17</v>
      </c>
    </row>
    <row r="102" spans="1:7" ht="26.45" customHeight="1">
      <c r="A102" s="1"/>
      <c r="B102" s="1"/>
      <c r="C102" s="1" t="s">
        <v>74</v>
      </c>
      <c r="D102" s="1"/>
      <c r="E102" s="1"/>
      <c r="F102" s="1"/>
      <c r="G102" s="2">
        <f>ROUND(G72+G78+G85+G101,5)</f>
        <v>1711027.08</v>
      </c>
    </row>
    <row r="103" spans="1:7" ht="26.45" customHeight="1">
      <c r="A103" s="1"/>
      <c r="B103" s="1"/>
      <c r="C103" s="1" t="s">
        <v>75</v>
      </c>
      <c r="D103" s="1"/>
      <c r="E103" s="1"/>
      <c r="F103" s="1"/>
      <c r="G103" s="2"/>
    </row>
    <row r="104" spans="1:7">
      <c r="A104" s="1"/>
      <c r="B104" s="1"/>
      <c r="C104" s="1"/>
      <c r="D104" s="1" t="s">
        <v>76</v>
      </c>
      <c r="E104" s="1"/>
      <c r="F104" s="1"/>
      <c r="G104" s="2"/>
    </row>
    <row r="105" spans="1:7">
      <c r="A105" s="1"/>
      <c r="B105" s="1"/>
      <c r="C105" s="1"/>
      <c r="D105" s="1"/>
      <c r="E105" s="1" t="s">
        <v>77</v>
      </c>
      <c r="F105" s="1"/>
      <c r="G105" s="2">
        <v>6045.24</v>
      </c>
    </row>
    <row r="106" spans="1:7">
      <c r="A106" s="1"/>
      <c r="B106" s="1"/>
      <c r="C106" s="1"/>
      <c r="D106" s="1"/>
      <c r="E106" s="1" t="s">
        <v>99</v>
      </c>
      <c r="F106" s="1"/>
      <c r="G106" s="2">
        <v>24592.5</v>
      </c>
    </row>
    <row r="107" spans="1:7">
      <c r="A107" s="1"/>
      <c r="B107" s="1"/>
      <c r="C107" s="1"/>
      <c r="D107" s="1"/>
      <c r="E107" s="1" t="s">
        <v>78</v>
      </c>
      <c r="F107" s="1"/>
      <c r="G107" s="2">
        <v>5515.52</v>
      </c>
    </row>
    <row r="108" spans="1:7">
      <c r="A108" s="1"/>
      <c r="B108" s="1"/>
      <c r="C108" s="1"/>
      <c r="D108" s="1"/>
      <c r="E108" s="1" t="s">
        <v>130</v>
      </c>
      <c r="F108" s="1"/>
      <c r="G108" s="2">
        <v>45056.71</v>
      </c>
    </row>
    <row r="109" spans="1:7">
      <c r="A109" s="1"/>
      <c r="B109" s="1"/>
      <c r="C109" s="1"/>
      <c r="D109" s="1"/>
      <c r="E109" s="1" t="s">
        <v>110</v>
      </c>
      <c r="F109" s="1"/>
      <c r="G109" s="2">
        <v>68770.38</v>
      </c>
    </row>
    <row r="110" spans="1:7">
      <c r="A110" s="1"/>
      <c r="B110" s="1"/>
      <c r="C110" s="1"/>
      <c r="D110" s="1"/>
      <c r="E110" s="1" t="s">
        <v>79</v>
      </c>
      <c r="F110" s="1"/>
      <c r="G110" s="2">
        <v>10911.68</v>
      </c>
    </row>
    <row r="111" spans="1:7">
      <c r="A111" s="1"/>
      <c r="B111" s="1"/>
      <c r="C111" s="1"/>
      <c r="D111" s="1"/>
      <c r="E111" s="1" t="s">
        <v>80</v>
      </c>
      <c r="F111" s="1"/>
      <c r="G111" s="2">
        <v>11973.22</v>
      </c>
    </row>
    <row r="112" spans="1:7">
      <c r="A112" s="1"/>
      <c r="B112" s="1"/>
      <c r="C112" s="1"/>
      <c r="D112" s="1"/>
      <c r="E112" s="1" t="s">
        <v>81</v>
      </c>
      <c r="F112" s="1"/>
      <c r="G112" s="2">
        <v>8134.71</v>
      </c>
    </row>
    <row r="113" spans="1:7">
      <c r="A113" s="1"/>
      <c r="B113" s="1"/>
      <c r="C113" s="1"/>
      <c r="D113" s="1"/>
      <c r="E113" s="1" t="s">
        <v>82</v>
      </c>
      <c r="F113" s="1"/>
      <c r="G113" s="2">
        <v>15911</v>
      </c>
    </row>
    <row r="114" spans="1:7">
      <c r="A114" s="1"/>
      <c r="B114" s="1"/>
      <c r="C114" s="1"/>
      <c r="D114" s="1"/>
      <c r="E114" s="1" t="s">
        <v>83</v>
      </c>
      <c r="F114" s="1"/>
      <c r="G114" s="2">
        <v>14322.15</v>
      </c>
    </row>
    <row r="115" spans="1:7">
      <c r="A115" s="1"/>
      <c r="B115" s="1"/>
      <c r="C115" s="1"/>
      <c r="D115" s="1"/>
      <c r="E115" s="1" t="s">
        <v>119</v>
      </c>
      <c r="F115" s="1"/>
      <c r="G115" s="2">
        <v>334087.65000000002</v>
      </c>
    </row>
    <row r="116" spans="1:7">
      <c r="A116" s="1"/>
      <c r="B116" s="1"/>
      <c r="C116" s="1"/>
      <c r="D116" s="1"/>
      <c r="E116" s="1" t="s">
        <v>120</v>
      </c>
      <c r="F116" s="1"/>
      <c r="G116" s="2">
        <v>58955</v>
      </c>
    </row>
    <row r="117" spans="1:7">
      <c r="A117" s="1"/>
      <c r="B117" s="1"/>
      <c r="C117" s="1"/>
      <c r="D117" s="1"/>
      <c r="E117" s="1" t="s">
        <v>121</v>
      </c>
      <c r="F117" s="1"/>
      <c r="G117" s="2">
        <v>28800</v>
      </c>
    </row>
    <row r="118" spans="1:7">
      <c r="A118" s="1"/>
      <c r="B118" s="1"/>
      <c r="C118" s="1"/>
      <c r="D118" s="1"/>
      <c r="E118" s="1" t="s">
        <v>122</v>
      </c>
      <c r="F118" s="1"/>
      <c r="G118" s="2">
        <v>22207.65</v>
      </c>
    </row>
    <row r="119" spans="1:7" ht="13.5" thickBot="1">
      <c r="A119" s="1"/>
      <c r="B119" s="1"/>
      <c r="C119" s="1"/>
      <c r="D119" s="1"/>
      <c r="E119" s="1" t="s">
        <v>137</v>
      </c>
      <c r="F119" s="1"/>
      <c r="G119" s="3">
        <v>18500</v>
      </c>
    </row>
    <row r="120" spans="1:7">
      <c r="A120" s="1"/>
      <c r="B120" s="1"/>
      <c r="C120" s="1"/>
      <c r="D120" s="1" t="s">
        <v>84</v>
      </c>
      <c r="E120" s="1"/>
      <c r="F120" s="1"/>
      <c r="G120" s="2">
        <f>ROUND(SUM(G104:G119),5)</f>
        <v>673783.41</v>
      </c>
    </row>
    <row r="121" spans="1:7" ht="26.45" customHeight="1">
      <c r="A121" s="1"/>
      <c r="B121" s="1"/>
      <c r="C121" s="1"/>
      <c r="D121" s="1" t="s">
        <v>107</v>
      </c>
      <c r="E121" s="1"/>
      <c r="F121" s="1"/>
      <c r="G121" s="2">
        <v>2650000</v>
      </c>
    </row>
    <row r="122" spans="1:7" ht="13.5" thickBot="1">
      <c r="A122" s="1"/>
      <c r="B122" s="1"/>
      <c r="C122" s="1"/>
      <c r="D122" s="1" t="s">
        <v>85</v>
      </c>
      <c r="E122" s="1"/>
      <c r="F122" s="1"/>
      <c r="G122" s="3">
        <v>144888.54</v>
      </c>
    </row>
    <row r="123" spans="1:7" ht="13.5" thickBot="1">
      <c r="A123" s="1"/>
      <c r="B123" s="1"/>
      <c r="C123" s="1" t="s">
        <v>86</v>
      </c>
      <c r="D123" s="1"/>
      <c r="E123" s="1"/>
      <c r="F123" s="1"/>
      <c r="G123" s="4">
        <f>ROUND(G103+SUM(G120:G122),5)</f>
        <v>3468671.95</v>
      </c>
    </row>
    <row r="124" spans="1:7" ht="26.45" customHeight="1">
      <c r="A124" s="1"/>
      <c r="B124" s="1" t="s">
        <v>87</v>
      </c>
      <c r="C124" s="1"/>
      <c r="D124" s="1"/>
      <c r="E124" s="1"/>
      <c r="F124" s="1"/>
      <c r="G124" s="2">
        <f>ROUND(G71+G102+G123,5)</f>
        <v>5179699.03</v>
      </c>
    </row>
    <row r="125" spans="1:7" ht="26.45" customHeight="1">
      <c r="A125" s="1"/>
      <c r="B125" s="1" t="s">
        <v>88</v>
      </c>
      <c r="C125" s="1"/>
      <c r="D125" s="1"/>
      <c r="E125" s="1"/>
      <c r="F125" s="1"/>
      <c r="G125" s="2"/>
    </row>
    <row r="126" spans="1:7">
      <c r="A126" s="1"/>
      <c r="B126" s="1"/>
      <c r="C126" s="1" t="s">
        <v>89</v>
      </c>
      <c r="D126" s="1"/>
      <c r="E126" s="1"/>
      <c r="F126" s="1"/>
      <c r="G126" s="2"/>
    </row>
    <row r="127" spans="1:7">
      <c r="A127" s="1"/>
      <c r="B127" s="1"/>
      <c r="C127" s="1"/>
      <c r="D127" s="1" t="s">
        <v>90</v>
      </c>
      <c r="E127" s="1"/>
      <c r="F127" s="1"/>
      <c r="G127" s="2">
        <v>418687.84</v>
      </c>
    </row>
    <row r="128" spans="1:7">
      <c r="A128" s="1"/>
      <c r="B128" s="1"/>
      <c r="C128" s="1"/>
      <c r="D128" s="1" t="s">
        <v>91</v>
      </c>
      <c r="E128" s="1"/>
      <c r="F128" s="1"/>
      <c r="G128" s="2">
        <v>-25439.54</v>
      </c>
    </row>
    <row r="129" spans="1:7">
      <c r="A129" s="1"/>
      <c r="B129" s="1"/>
      <c r="C129" s="1"/>
      <c r="D129" s="1" t="s">
        <v>111</v>
      </c>
      <c r="E129" s="1"/>
      <c r="F129" s="1"/>
      <c r="G129" s="2">
        <v>-37900</v>
      </c>
    </row>
    <row r="130" spans="1:7">
      <c r="A130" s="1"/>
      <c r="B130" s="1"/>
      <c r="C130" s="1"/>
      <c r="D130" s="1" t="s">
        <v>131</v>
      </c>
      <c r="E130" s="1"/>
      <c r="F130" s="1"/>
      <c r="G130" s="2">
        <v>512647</v>
      </c>
    </row>
    <row r="131" spans="1:7" ht="13.5" thickBot="1">
      <c r="A131" s="1"/>
      <c r="B131" s="1"/>
      <c r="C131" s="1"/>
      <c r="D131" s="1" t="s">
        <v>92</v>
      </c>
      <c r="E131" s="1"/>
      <c r="F131" s="1"/>
      <c r="G131" s="3">
        <v>979874</v>
      </c>
    </row>
    <row r="132" spans="1:7">
      <c r="A132" s="1"/>
      <c r="B132" s="1"/>
      <c r="C132" s="1" t="s">
        <v>93</v>
      </c>
      <c r="D132" s="1"/>
      <c r="E132" s="1"/>
      <c r="F132" s="1"/>
      <c r="G132" s="2">
        <f>ROUND(SUM(G126:G131),5)</f>
        <v>1847869.3</v>
      </c>
    </row>
    <row r="133" spans="1:7" ht="26.45" customHeight="1" thickBot="1">
      <c r="A133" s="1"/>
      <c r="B133" s="1"/>
      <c r="C133" s="1" t="s">
        <v>94</v>
      </c>
      <c r="D133" s="1"/>
      <c r="E133" s="1"/>
      <c r="F133" s="1"/>
      <c r="G133" s="3">
        <v>254312.86</v>
      </c>
    </row>
    <row r="134" spans="1:7" ht="13.5" thickBot="1">
      <c r="A134" s="1"/>
      <c r="B134" s="1" t="s">
        <v>95</v>
      </c>
      <c r="C134" s="1"/>
      <c r="D134" s="1"/>
      <c r="E134" s="1"/>
      <c r="F134" s="1"/>
      <c r="G134" s="4">
        <f>ROUND(G125+SUM(G132:G133),5)</f>
        <v>2102182.16</v>
      </c>
    </row>
    <row r="135" spans="1:7" s="6" customFormat="1" ht="26.45" customHeight="1" thickBot="1">
      <c r="A135" s="1" t="s">
        <v>96</v>
      </c>
      <c r="B135" s="1"/>
      <c r="C135" s="1"/>
      <c r="D135" s="1"/>
      <c r="E135" s="1"/>
      <c r="F135" s="1"/>
      <c r="G135" s="5">
        <f>ROUND(G70+G124+G134,5)</f>
        <v>7281881.1900000004</v>
      </c>
    </row>
    <row r="136" spans="1:7" ht="13.5" thickTop="1"/>
    <row r="137" spans="1:7">
      <c r="A137" s="16"/>
      <c r="B137" s="17"/>
      <c r="C137" s="17"/>
      <c r="D137" s="17"/>
      <c r="E137" s="17"/>
      <c r="F137" s="17"/>
      <c r="G137" s="18"/>
    </row>
    <row r="138" spans="1:7">
      <c r="A138" s="19" t="s">
        <v>144</v>
      </c>
      <c r="B138" s="20"/>
      <c r="C138" s="20"/>
      <c r="D138" s="20"/>
      <c r="E138" s="20"/>
      <c r="F138" s="20"/>
      <c r="G138" s="21" t="s">
        <v>145</v>
      </c>
    </row>
    <row r="139" spans="1:7">
      <c r="A139" s="22"/>
      <c r="B139" s="1" t="s">
        <v>63</v>
      </c>
      <c r="C139" s="20"/>
      <c r="D139" s="20"/>
      <c r="E139" s="20"/>
      <c r="F139" s="20"/>
      <c r="G139" s="25">
        <f>1681*12</f>
        <v>20172</v>
      </c>
    </row>
    <row r="140" spans="1:7">
      <c r="A140" s="22"/>
      <c r="B140" s="24" t="s">
        <v>77</v>
      </c>
      <c r="C140" s="24"/>
      <c r="D140" s="20"/>
      <c r="E140" s="20"/>
      <c r="F140" s="20"/>
      <c r="G140" s="25">
        <f>294.7*12</f>
        <v>3536.3999999999996</v>
      </c>
    </row>
    <row r="141" spans="1:7">
      <c r="A141" s="22"/>
      <c r="B141" s="24" t="s">
        <v>99</v>
      </c>
      <c r="C141" s="24"/>
      <c r="D141" s="20"/>
      <c r="E141" s="20"/>
      <c r="F141" s="20"/>
      <c r="G141" s="25">
        <f>491.85*12</f>
        <v>5902.2000000000007</v>
      </c>
    </row>
    <row r="142" spans="1:7">
      <c r="A142" s="22"/>
      <c r="B142" s="24" t="s">
        <v>78</v>
      </c>
      <c r="C142" s="24"/>
      <c r="D142" s="20"/>
      <c r="E142" s="20"/>
      <c r="F142" s="20"/>
      <c r="G142" s="25">
        <f>689.44*12</f>
        <v>8273.2800000000007</v>
      </c>
    </row>
    <row r="143" spans="1:7">
      <c r="A143" s="22"/>
      <c r="B143" s="24" t="s">
        <v>130</v>
      </c>
      <c r="C143" s="24"/>
      <c r="D143" s="20"/>
      <c r="E143" s="20"/>
      <c r="F143" s="20"/>
      <c r="G143" s="25">
        <f>763*12</f>
        <v>9156</v>
      </c>
    </row>
    <row r="144" spans="1:7">
      <c r="A144" s="22"/>
      <c r="B144" s="24" t="s">
        <v>110</v>
      </c>
      <c r="C144" s="24"/>
      <c r="D144" s="20"/>
      <c r="E144" s="20"/>
      <c r="F144" s="20"/>
      <c r="G144" s="25">
        <f>1303*12</f>
        <v>15636</v>
      </c>
    </row>
    <row r="145" spans="1:7">
      <c r="A145" s="22"/>
      <c r="B145" s="24" t="s">
        <v>79</v>
      </c>
      <c r="C145" s="24"/>
      <c r="D145" s="20"/>
      <c r="E145" s="20"/>
      <c r="F145" s="20"/>
      <c r="G145" s="25">
        <f>769*12</f>
        <v>9228</v>
      </c>
    </row>
    <row r="146" spans="1:7">
      <c r="A146" s="22"/>
      <c r="B146" s="24" t="s">
        <v>80</v>
      </c>
      <c r="C146" s="24"/>
      <c r="D146" s="20"/>
      <c r="E146" s="20"/>
      <c r="F146" s="20"/>
      <c r="G146" s="25">
        <f>410*12</f>
        <v>4920</v>
      </c>
    </row>
    <row r="147" spans="1:7">
      <c r="A147" s="22"/>
      <c r="B147" s="24" t="s">
        <v>81</v>
      </c>
      <c r="C147" s="24"/>
      <c r="D147" s="20"/>
      <c r="E147" s="20"/>
      <c r="F147" s="20"/>
      <c r="G147" s="25">
        <f>1968.5*12</f>
        <v>23622</v>
      </c>
    </row>
    <row r="148" spans="1:7">
      <c r="A148" s="22"/>
      <c r="B148" s="24" t="s">
        <v>82</v>
      </c>
      <c r="C148" s="24"/>
      <c r="D148" s="20"/>
      <c r="E148" s="20"/>
      <c r="F148" s="20"/>
      <c r="G148" s="25">
        <f>614*12</f>
        <v>7368</v>
      </c>
    </row>
    <row r="149" spans="1:7">
      <c r="A149" s="22"/>
      <c r="B149" s="24" t="s">
        <v>83</v>
      </c>
      <c r="C149" s="24"/>
      <c r="D149" s="20"/>
      <c r="E149" s="20"/>
      <c r="F149" s="20"/>
      <c r="G149" s="25">
        <f>537*12</f>
        <v>6444</v>
      </c>
    </row>
    <row r="150" spans="1:7">
      <c r="A150" s="22"/>
      <c r="B150" s="24" t="s">
        <v>119</v>
      </c>
      <c r="C150" s="24"/>
      <c r="D150" s="20"/>
      <c r="E150" s="20"/>
      <c r="F150" s="20"/>
      <c r="G150" s="25">
        <f>5139.81*12</f>
        <v>61677.72</v>
      </c>
    </row>
    <row r="151" spans="1:7">
      <c r="A151" s="22"/>
      <c r="B151" s="24" t="s">
        <v>120</v>
      </c>
      <c r="C151" s="24"/>
      <c r="D151" s="20"/>
      <c r="E151" s="20"/>
      <c r="F151" s="20"/>
      <c r="G151" s="25">
        <f>907*12</f>
        <v>10884</v>
      </c>
    </row>
    <row r="152" spans="1:7">
      <c r="A152" s="22"/>
      <c r="B152" s="24" t="s">
        <v>121</v>
      </c>
      <c r="C152" s="24"/>
      <c r="D152" s="20"/>
      <c r="E152" s="20"/>
      <c r="F152" s="20"/>
      <c r="G152" s="25">
        <f>450*12</f>
        <v>5400</v>
      </c>
    </row>
    <row r="153" spans="1:7">
      <c r="A153" s="22"/>
      <c r="B153" s="24" t="s">
        <v>122</v>
      </c>
      <c r="C153" s="24"/>
      <c r="D153" s="20"/>
      <c r="E153" s="20"/>
      <c r="F153" s="20"/>
      <c r="G153" s="25">
        <f>455.42*12</f>
        <v>5465.04</v>
      </c>
    </row>
    <row r="154" spans="1:7">
      <c r="A154" s="22"/>
      <c r="B154" s="24" t="s">
        <v>137</v>
      </c>
      <c r="C154" s="24"/>
      <c r="D154" s="20"/>
      <c r="E154" s="20"/>
      <c r="F154" s="20"/>
      <c r="G154" s="25">
        <f>367*12</f>
        <v>4404</v>
      </c>
    </row>
    <row r="155" spans="1:7">
      <c r="A155" s="22"/>
      <c r="B155" s="24" t="s">
        <v>107</v>
      </c>
      <c r="C155" s="24"/>
      <c r="D155" s="20"/>
      <c r="E155" s="20"/>
      <c r="F155" s="20"/>
      <c r="G155" s="26">
        <v>19000</v>
      </c>
    </row>
    <row r="156" spans="1:7">
      <c r="A156" s="22"/>
      <c r="B156" s="20"/>
      <c r="C156" s="24"/>
      <c r="D156" s="20"/>
      <c r="E156" s="20"/>
      <c r="F156" s="20"/>
      <c r="G156" s="23"/>
    </row>
    <row r="157" spans="1:7">
      <c r="A157" s="22"/>
      <c r="B157" s="20"/>
      <c r="C157" s="24"/>
      <c r="D157" s="20"/>
      <c r="E157" s="20"/>
      <c r="F157" s="28" t="s">
        <v>148</v>
      </c>
      <c r="G157" s="27">
        <f>SUM(G139:G156)</f>
        <v>221088.64000000001</v>
      </c>
    </row>
    <row r="158" spans="1:7">
      <c r="A158" s="22"/>
      <c r="B158" s="28"/>
      <c r="C158" s="20"/>
      <c r="D158" s="20"/>
      <c r="E158" s="20"/>
      <c r="F158" s="20"/>
      <c r="G158" s="23"/>
    </row>
    <row r="159" spans="1:7">
      <c r="A159" s="22"/>
      <c r="B159" s="20"/>
      <c r="C159" s="20"/>
      <c r="D159" s="20"/>
      <c r="E159" s="20"/>
      <c r="F159" s="20"/>
      <c r="G159" s="23"/>
    </row>
    <row r="160" spans="1:7">
      <c r="A160" s="22"/>
      <c r="B160" s="28" t="s">
        <v>146</v>
      </c>
      <c r="C160" s="20"/>
      <c r="D160" s="20"/>
      <c r="E160" s="20"/>
      <c r="F160" s="20"/>
      <c r="G160" s="25">
        <f>254312.86+115832.93</f>
        <v>370145.79</v>
      </c>
    </row>
    <row r="161" spans="1:7">
      <c r="A161" s="22"/>
      <c r="B161" s="20"/>
      <c r="C161" s="20"/>
      <c r="D161" s="20"/>
      <c r="E161" s="20"/>
      <c r="F161" s="20"/>
      <c r="G161" s="23"/>
    </row>
    <row r="162" spans="1:7">
      <c r="A162" s="29"/>
      <c r="B162" s="30" t="s">
        <v>147</v>
      </c>
      <c r="C162" s="31"/>
      <c r="D162" s="31"/>
      <c r="E162" s="31"/>
      <c r="F162" s="31"/>
      <c r="G162" s="32">
        <f>+G160/G157</f>
        <v>1.6741963313899799</v>
      </c>
    </row>
  </sheetData>
  <phoneticPr fontId="0" type="noConversion"/>
  <pageMargins left="0.75" right="0.75" top="1" bottom="1" header="0.25" footer="0.5"/>
  <pageSetup orientation="portrait" verticalDpi="0" r:id="rId1"/>
  <headerFooter alignWithMargins="0">
    <oddHeader>&amp;L&amp;"Arial,Bold"&amp;8 12:38 PM
&amp;"Arial,Bold"&amp;8 04/23/08
&amp;"Arial,Bold"&amp;8 Accrual Basis&amp;C&amp;"Arial,Bold"&amp;12 Torii Mor Winery, LLC
&amp;"Arial,Bold"&amp;14 Balance Sheet
&amp;"Arial,Bold"&amp;10 As of December 31, 2007</oddHeader>
    <oddFooter>&amp;R&amp;"Arial,Bold"&amp;8 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4</vt:i4>
      </vt:variant>
    </vt:vector>
  </HeadingPairs>
  <TitlesOfParts>
    <vt:vector size="21" baseType="lpstr">
      <vt:lpstr>Jan - Dec 2007 Financial Stat</vt:lpstr>
      <vt:lpstr>1QTR 08 </vt:lpstr>
      <vt:lpstr>Balance Sheet Jan - Mar 2008</vt:lpstr>
      <vt:lpstr>Balance Sheet 2007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'1QTR 08 '!Print_Titles</vt:lpstr>
      <vt:lpstr>'Balance Sheet 2007'!Print_Titles</vt:lpstr>
      <vt:lpstr>'Balance Sheet Jan - Mar 2008'!Print_Titles</vt:lpstr>
      <vt:lpstr>'Jan - Dec 2007 Financial Stat'!Print_Titles</vt:lpstr>
    </vt:vector>
  </TitlesOfParts>
  <Company>Torii Mor Winery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Olson</dc:creator>
  <cp:lastModifiedBy>John Bennett</cp:lastModifiedBy>
  <cp:lastPrinted>2008-04-29T22:34:40Z</cp:lastPrinted>
  <dcterms:created xsi:type="dcterms:W3CDTF">2008-04-23T19:34:03Z</dcterms:created>
  <dcterms:modified xsi:type="dcterms:W3CDTF">2008-05-12T21:27:13Z</dcterms:modified>
</cp:coreProperties>
</file>